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ecitas.sharepoint.com/sites/StatusMadsogRune/Shared Documents/MS - ARL/Annual Report/"/>
    </mc:Choice>
  </mc:AlternateContent>
  <xr:revisionPtr revIDLastSave="51" documentId="8_{6514FABA-327A-4448-8398-B88518858D66}" xr6:coauthVersionLast="47" xr6:coauthVersionMax="47" xr10:uidLastSave="{1F0BBFB6-12A7-454F-B283-2CD51B393C03}"/>
  <bookViews>
    <workbookView xWindow="-120" yWindow="-120" windowWidth="29040" windowHeight="15720" activeTab="2" xr2:uid="{D51604A1-8892-41C7-ACCB-93D1817739ED}"/>
  </bookViews>
  <sheets>
    <sheet name="Menu" sheetId="6" r:id="rId1"/>
    <sheet name="Financial highlights" sheetId="4" r:id="rId2"/>
    <sheet name="P&amp;L" sheetId="1" r:id="rId3"/>
    <sheet name="CF" sheetId="2" r:id="rId4"/>
    <sheet name="B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C4" i="1"/>
  <c r="B4" i="1"/>
  <c r="J62" i="1"/>
  <c r="H13" i="1"/>
  <c r="N33" i="1"/>
  <c r="M33" i="1"/>
  <c r="L33" i="1"/>
  <c r="K33" i="1"/>
  <c r="J33" i="1"/>
  <c r="I33" i="1"/>
  <c r="H33" i="1"/>
  <c r="G33" i="1"/>
  <c r="F33" i="1"/>
  <c r="E6" i="1"/>
  <c r="J7" i="4"/>
  <c r="E5" i="4"/>
  <c r="O50" i="2"/>
  <c r="O46" i="2"/>
  <c r="P13" i="1"/>
  <c r="M13" i="1"/>
  <c r="N13" i="1"/>
  <c r="L13" i="1"/>
  <c r="K13" i="1"/>
  <c r="I13" i="1"/>
  <c r="J13" i="1"/>
  <c r="G13" i="1"/>
  <c r="P89" i="1"/>
  <c r="P90" i="1" s="1"/>
  <c r="P50" i="1"/>
  <c r="P69" i="1"/>
  <c r="P70" i="1" s="1"/>
  <c r="E4" i="1" l="1"/>
  <c r="P54" i="1"/>
  <c r="P74" i="1"/>
  <c r="N54" i="1"/>
  <c r="M54" i="1"/>
  <c r="L54" i="1"/>
  <c r="J54" i="1"/>
  <c r="I54" i="1"/>
  <c r="H54" i="1"/>
  <c r="G54" i="1"/>
  <c r="K54" i="1"/>
  <c r="K74" i="1"/>
  <c r="N74" i="1"/>
  <c r="M74" i="1"/>
  <c r="L74" i="1"/>
  <c r="J74" i="1"/>
  <c r="I74" i="1"/>
  <c r="H74" i="1"/>
  <c r="G74" i="1"/>
  <c r="P94" i="1"/>
  <c r="N94" i="1"/>
  <c r="M94" i="1"/>
  <c r="L94" i="1"/>
  <c r="K94" i="1"/>
  <c r="J94" i="1"/>
  <c r="I94" i="1"/>
  <c r="H94" i="1"/>
  <c r="G94" i="1"/>
  <c r="G30" i="1"/>
  <c r="H30" i="1"/>
  <c r="I30" i="1"/>
  <c r="J30" i="1"/>
  <c r="K30" i="1"/>
  <c r="L30" i="1"/>
  <c r="M30" i="1"/>
  <c r="N30" i="1"/>
  <c r="P30" i="1"/>
  <c r="N5" i="1"/>
  <c r="M5" i="1"/>
  <c r="K5" i="1"/>
  <c r="J5" i="1"/>
  <c r="I5" i="1"/>
  <c r="G5" i="1"/>
  <c r="H5" i="1"/>
  <c r="P13" i="4" l="1"/>
  <c r="P12" i="4"/>
  <c r="O13" i="4"/>
  <c r="O12" i="4"/>
  <c r="P47" i="2"/>
  <c r="P48" i="2"/>
  <c r="P49" i="2"/>
  <c r="O27" i="2" l="1"/>
  <c r="O28" i="2"/>
  <c r="O29" i="2"/>
  <c r="O30" i="2"/>
  <c r="O31" i="2"/>
  <c r="O32" i="2"/>
  <c r="O33" i="2"/>
  <c r="O26" i="2"/>
  <c r="N47" i="2"/>
  <c r="O39" i="2"/>
  <c r="O40" i="2"/>
  <c r="O8" i="2"/>
  <c r="O9" i="2"/>
  <c r="O10" i="2" s="1"/>
  <c r="O15" i="2" s="1"/>
  <c r="O24" i="2" s="1"/>
  <c r="O7" i="2"/>
  <c r="O18" i="2"/>
  <c r="O19" i="2"/>
  <c r="O20" i="2"/>
  <c r="O21" i="2"/>
  <c r="O17" i="2"/>
  <c r="O13" i="2"/>
  <c r="O14" i="2"/>
  <c r="O12" i="2"/>
  <c r="O5" i="2"/>
  <c r="P87" i="5"/>
  <c r="O87" i="5"/>
  <c r="P83" i="5"/>
  <c r="P89" i="5" s="1"/>
  <c r="O83" i="5"/>
  <c r="O89" i="5" s="1"/>
  <c r="P73" i="5"/>
  <c r="O73" i="5"/>
  <c r="P68" i="5"/>
  <c r="O68" i="5"/>
  <c r="O34" i="2" l="1"/>
  <c r="O36" i="2" s="1"/>
  <c r="H8" i="5" l="1"/>
  <c r="N86" i="5" l="1"/>
  <c r="N85" i="5"/>
  <c r="N81" i="5"/>
  <c r="N80" i="5"/>
  <c r="N72" i="5"/>
  <c r="N71" i="5"/>
  <c r="N70" i="5"/>
  <c r="N67" i="5"/>
  <c r="N66" i="5"/>
  <c r="N65" i="5"/>
  <c r="N49" i="2"/>
  <c r="N48" i="2"/>
  <c r="N46" i="2"/>
  <c r="N87" i="5" l="1"/>
  <c r="N83" i="5"/>
  <c r="N68" i="5"/>
  <c r="N73" i="5"/>
  <c r="N50" i="2"/>
  <c r="N89" i="5" l="1"/>
  <c r="N75" i="5"/>
  <c r="M33" i="2"/>
  <c r="K33" i="2"/>
  <c r="F33" i="2"/>
  <c r="D33" i="2"/>
  <c r="I33" i="2"/>
  <c r="G57" i="5" l="1"/>
  <c r="G45" i="5"/>
  <c r="G44" i="5"/>
  <c r="G51" i="5"/>
  <c r="G48" i="5" l="1"/>
  <c r="G58" i="5"/>
  <c r="G72" i="5"/>
  <c r="L72" i="5"/>
  <c r="H85" i="5"/>
  <c r="M49" i="2" l="1"/>
  <c r="L49" i="2"/>
  <c r="K49" i="2"/>
  <c r="J49" i="2"/>
  <c r="I49" i="2"/>
  <c r="H49" i="2"/>
  <c r="G49" i="2"/>
  <c r="F49" i="2"/>
  <c r="E49" i="2"/>
  <c r="D49" i="2"/>
  <c r="C49" i="2"/>
  <c r="M48" i="2"/>
  <c r="L48" i="2"/>
  <c r="K48" i="2"/>
  <c r="J48" i="2"/>
  <c r="I48" i="2"/>
  <c r="H48" i="2"/>
  <c r="G48" i="2"/>
  <c r="F48" i="2"/>
  <c r="E48" i="2"/>
  <c r="D48" i="2"/>
  <c r="C48" i="2"/>
  <c r="B49" i="2"/>
  <c r="B48" i="2"/>
  <c r="M47" i="2"/>
  <c r="L47" i="2"/>
  <c r="K47" i="2"/>
  <c r="J47" i="2"/>
  <c r="I47" i="2"/>
  <c r="H47" i="2"/>
  <c r="G47" i="2"/>
  <c r="F47" i="2"/>
  <c r="E47" i="2"/>
  <c r="D47" i="2"/>
  <c r="C47" i="2"/>
  <c r="B47" i="2"/>
  <c r="M46" i="2"/>
  <c r="L46" i="2"/>
  <c r="K46" i="2"/>
  <c r="J46" i="2"/>
  <c r="I46" i="2"/>
  <c r="H46" i="2"/>
  <c r="G46" i="2"/>
  <c r="F46" i="2"/>
  <c r="E46" i="2"/>
  <c r="D46" i="2"/>
  <c r="C46" i="2"/>
  <c r="B46" i="2"/>
  <c r="C57" i="5"/>
  <c r="B57" i="5"/>
  <c r="G85" i="5"/>
  <c r="M86" i="5"/>
  <c r="L86" i="5"/>
  <c r="K86" i="5"/>
  <c r="J86" i="5"/>
  <c r="I86" i="5"/>
  <c r="H86" i="5"/>
  <c r="H87" i="5" s="1"/>
  <c r="G86" i="5"/>
  <c r="F86" i="5"/>
  <c r="E86" i="5"/>
  <c r="D86" i="5"/>
  <c r="C86" i="5"/>
  <c r="B86" i="5"/>
  <c r="M85" i="5"/>
  <c r="L85" i="5"/>
  <c r="K85" i="5"/>
  <c r="J85" i="5"/>
  <c r="I85" i="5"/>
  <c r="F85" i="5"/>
  <c r="E85" i="5"/>
  <c r="D85" i="5"/>
  <c r="C85" i="5"/>
  <c r="B85" i="5"/>
  <c r="M81" i="5"/>
  <c r="L81" i="5"/>
  <c r="K81" i="5"/>
  <c r="J81" i="5"/>
  <c r="I81" i="5"/>
  <c r="H81" i="5"/>
  <c r="G81" i="5"/>
  <c r="F81" i="5"/>
  <c r="E81" i="5"/>
  <c r="D81" i="5"/>
  <c r="C81" i="5"/>
  <c r="M80" i="5"/>
  <c r="L80" i="5"/>
  <c r="K80" i="5"/>
  <c r="J80" i="5"/>
  <c r="I80" i="5"/>
  <c r="H80" i="5"/>
  <c r="G80" i="5"/>
  <c r="F80" i="5"/>
  <c r="E80" i="5"/>
  <c r="D80" i="5"/>
  <c r="C80" i="5"/>
  <c r="B81" i="5"/>
  <c r="B80" i="5"/>
  <c r="G67" i="5"/>
  <c r="F83" i="5" l="1"/>
  <c r="I87" i="5"/>
  <c r="M87" i="5"/>
  <c r="F50" i="2"/>
  <c r="G83" i="5"/>
  <c r="B50" i="2"/>
  <c r="C83" i="5"/>
  <c r="K83" i="5"/>
  <c r="C50" i="2"/>
  <c r="K50" i="2"/>
  <c r="D50" i="2"/>
  <c r="L50" i="2"/>
  <c r="E83" i="5"/>
  <c r="M83" i="5"/>
  <c r="F87" i="5"/>
  <c r="E50" i="2"/>
  <c r="M50" i="2"/>
  <c r="E87" i="5"/>
  <c r="H83" i="5"/>
  <c r="H89" i="5" s="1"/>
  <c r="K87" i="5"/>
  <c r="B83" i="5"/>
  <c r="I83" i="5"/>
  <c r="G50" i="2"/>
  <c r="H50" i="2"/>
  <c r="I50" i="2"/>
  <c r="J50" i="2"/>
  <c r="J83" i="5"/>
  <c r="D87" i="5"/>
  <c r="D83" i="5"/>
  <c r="L83" i="5"/>
  <c r="C87" i="5"/>
  <c r="J87" i="5"/>
  <c r="L87" i="5"/>
  <c r="G87" i="5"/>
  <c r="B87" i="5"/>
  <c r="E89" i="5" l="1"/>
  <c r="G89" i="5"/>
  <c r="F89" i="5"/>
  <c r="K89" i="5"/>
  <c r="I89" i="5"/>
  <c r="M89" i="5"/>
  <c r="D89" i="5"/>
  <c r="J89" i="5"/>
  <c r="C89" i="5"/>
  <c r="L89" i="5"/>
  <c r="B89" i="5"/>
  <c r="M72" i="5" l="1"/>
  <c r="K72" i="5"/>
  <c r="J72" i="5"/>
  <c r="I72" i="5"/>
  <c r="H72" i="5"/>
  <c r="F72" i="5"/>
  <c r="E72" i="5"/>
  <c r="D72" i="5"/>
  <c r="C72" i="5"/>
  <c r="B72" i="5"/>
  <c r="M71" i="5"/>
  <c r="L71" i="5"/>
  <c r="K71" i="5"/>
  <c r="J71" i="5"/>
  <c r="I71" i="5"/>
  <c r="H71" i="5"/>
  <c r="G71" i="5"/>
  <c r="F71" i="5"/>
  <c r="E71" i="5"/>
  <c r="D71" i="5"/>
  <c r="C71" i="5"/>
  <c r="B71" i="5"/>
  <c r="M70" i="5"/>
  <c r="L70" i="5"/>
  <c r="K70" i="5"/>
  <c r="J70" i="5"/>
  <c r="I70" i="5"/>
  <c r="H70" i="5"/>
  <c r="G70" i="5"/>
  <c r="F70" i="5"/>
  <c r="E70" i="5"/>
  <c r="D70" i="5"/>
  <c r="C70" i="5"/>
  <c r="B70" i="5"/>
  <c r="M67" i="5"/>
  <c r="L67" i="5"/>
  <c r="K67" i="5"/>
  <c r="J67" i="5"/>
  <c r="I67" i="5"/>
  <c r="H67" i="5"/>
  <c r="F67" i="5"/>
  <c r="E67" i="5"/>
  <c r="D67" i="5"/>
  <c r="C67" i="5"/>
  <c r="B67" i="5"/>
  <c r="M66" i="5"/>
  <c r="L66" i="5"/>
  <c r="K66" i="5"/>
  <c r="J66" i="5"/>
  <c r="I66" i="5"/>
  <c r="H66" i="5"/>
  <c r="G66" i="5"/>
  <c r="F66" i="5"/>
  <c r="E66" i="5"/>
  <c r="D66" i="5"/>
  <c r="C66" i="5"/>
  <c r="B66" i="5"/>
  <c r="M65" i="5"/>
  <c r="L65" i="5"/>
  <c r="K65" i="5"/>
  <c r="J65" i="5"/>
  <c r="I65" i="5"/>
  <c r="H65" i="5"/>
  <c r="G65" i="5"/>
  <c r="F65" i="5"/>
  <c r="E65" i="5"/>
  <c r="D65" i="5"/>
  <c r="C65" i="5"/>
  <c r="B65" i="5"/>
  <c r="A72" i="5"/>
  <c r="A71" i="5"/>
  <c r="A70" i="5"/>
  <c r="A67" i="5"/>
  <c r="A66" i="5"/>
  <c r="A65" i="5"/>
  <c r="F73" i="5" l="1"/>
  <c r="G68" i="5"/>
  <c r="E73" i="5"/>
  <c r="H68" i="5"/>
  <c r="K68" i="5"/>
  <c r="H73" i="5"/>
  <c r="D68" i="5"/>
  <c r="I73" i="5"/>
  <c r="E68" i="5"/>
  <c r="F68" i="5"/>
  <c r="J73" i="5"/>
  <c r="C73" i="5"/>
  <c r="B73" i="5"/>
  <c r="C68" i="5"/>
  <c r="I68" i="5"/>
  <c r="J68" i="5"/>
  <c r="M73" i="5"/>
  <c r="M68" i="5"/>
  <c r="K73" i="5"/>
  <c r="B68" i="5"/>
  <c r="L68" i="5"/>
  <c r="G73" i="5"/>
  <c r="D73" i="5"/>
  <c r="L73" i="5"/>
  <c r="D75" i="5" l="1"/>
  <c r="F75" i="5"/>
  <c r="E75" i="5"/>
  <c r="G75" i="5"/>
  <c r="K75" i="5"/>
  <c r="M75" i="5"/>
  <c r="I75" i="5"/>
  <c r="J75" i="5"/>
  <c r="H75" i="5"/>
  <c r="C75" i="5"/>
  <c r="B75" i="5"/>
  <c r="L75" i="5"/>
</calcChain>
</file>

<file path=xl/sharedStrings.xml><?xml version="1.0" encoding="utf-8"?>
<sst xmlns="http://schemas.openxmlformats.org/spreadsheetml/2006/main" count="356" uniqueCount="175">
  <si>
    <t>Revenue</t>
  </si>
  <si>
    <t>Total revenue growth</t>
  </si>
  <si>
    <t>M&amp;A revenue growth</t>
  </si>
  <si>
    <t>Organic revenue growth</t>
  </si>
  <si>
    <t>Currency impact</t>
  </si>
  <si>
    <t>Q1 2020</t>
  </si>
  <si>
    <t>Q2 2020</t>
  </si>
  <si>
    <t>Q3 2020</t>
  </si>
  <si>
    <t>Q4 2020</t>
  </si>
  <si>
    <t>FY 2020</t>
  </si>
  <si>
    <t>Q1 2021</t>
  </si>
  <si>
    <t>Q2 2021</t>
  </si>
  <si>
    <t>Q3 2021</t>
  </si>
  <si>
    <t>Q4 2021</t>
  </si>
  <si>
    <t>FY 2021</t>
  </si>
  <si>
    <t>Gross profit</t>
  </si>
  <si>
    <t>Cogs</t>
  </si>
  <si>
    <t>Personnel expenses</t>
  </si>
  <si>
    <t>Other operating costs</t>
  </si>
  <si>
    <t>EBITDA*</t>
  </si>
  <si>
    <t>EBIT*</t>
  </si>
  <si>
    <t>Profit before tax</t>
  </si>
  <si>
    <t>Tax on profit of the period</t>
  </si>
  <si>
    <t>Profit for the period</t>
  </si>
  <si>
    <t>Effective tax-rate</t>
  </si>
  <si>
    <t>IT Division</t>
  </si>
  <si>
    <t>F&amp;A Division</t>
  </si>
  <si>
    <t>Profit before amoritizations</t>
  </si>
  <si>
    <t>Amoritizations &amp; depreciations</t>
  </si>
  <si>
    <t>Financial items</t>
  </si>
  <si>
    <t>Corporation tax, paid</t>
  </si>
  <si>
    <t>Change in net working capital (NWC)</t>
  </si>
  <si>
    <t>Cash flow from operating activities (A)</t>
  </si>
  <si>
    <t>Net investments in tangible assets, total</t>
  </si>
  <si>
    <t>Net Investments in subsidairies</t>
  </si>
  <si>
    <t>Net investments in other activities</t>
  </si>
  <si>
    <t>Change in other financial assets</t>
  </si>
  <si>
    <t>Cash flow from investing activities (B)</t>
  </si>
  <si>
    <t>Cash flow from operating and investing activities (A+B)</t>
  </si>
  <si>
    <t>Repayment of lease liabilities</t>
  </si>
  <si>
    <t>Loans and credit facilities</t>
  </si>
  <si>
    <t>Capital increase</t>
  </si>
  <si>
    <t xml:space="preserve">Sale and purchase of treasury shares </t>
  </si>
  <si>
    <t>Transactions with minorities</t>
  </si>
  <si>
    <t>Cash flow from financing activities</t>
  </si>
  <si>
    <t>Cash flow for the period</t>
  </si>
  <si>
    <t>Cash and cash equivalents 1 January</t>
  </si>
  <si>
    <t>Currency translation adjustments</t>
  </si>
  <si>
    <t>Cash and cash equivalents end of period</t>
  </si>
  <si>
    <t>Financial items, net</t>
  </si>
  <si>
    <t>Q1 2022</t>
  </si>
  <si>
    <t>Condensed Income Statement</t>
  </si>
  <si>
    <t>Adjusted profit for the year</t>
  </si>
  <si>
    <t>Attributeable to ECIT AS' shareholders</t>
  </si>
  <si>
    <t>Attributeable to minorities</t>
  </si>
  <si>
    <t>Financial position</t>
  </si>
  <si>
    <t>Total assets</t>
  </si>
  <si>
    <t>ECIT shareholdes' share of equity</t>
  </si>
  <si>
    <t>Non-controlling interest</t>
  </si>
  <si>
    <t>Net working capital</t>
  </si>
  <si>
    <t>Net interest-bearing debt (NIBD)</t>
  </si>
  <si>
    <t>Net debt to EBITDA* (Gearing ratio)</t>
  </si>
  <si>
    <t>Cash Flow</t>
  </si>
  <si>
    <t>Operating activities</t>
  </si>
  <si>
    <t>Adjusted free cash flow**</t>
  </si>
  <si>
    <t>Investing activities</t>
  </si>
  <si>
    <t>Financing activities</t>
  </si>
  <si>
    <t>Key figures</t>
  </si>
  <si>
    <t>Total revenue growth, %</t>
  </si>
  <si>
    <t>Total organic revenue growth, %</t>
  </si>
  <si>
    <t>EBITDA margin*, %</t>
  </si>
  <si>
    <t>Effective tax rate, %</t>
  </si>
  <si>
    <t>Avg. majority share***, %</t>
  </si>
  <si>
    <t>Solvency ratio, %</t>
  </si>
  <si>
    <t>CAPEX in % of revenue</t>
  </si>
  <si>
    <t>Stock-related key figures</t>
  </si>
  <si>
    <t>EPS, NOK</t>
  </si>
  <si>
    <t>Diluted EPS, NOK</t>
  </si>
  <si>
    <t>Adjusted diluted EPS, NOK</t>
  </si>
  <si>
    <t>Total number of shares issued ('000)</t>
  </si>
  <si>
    <t>Total number of treasury shares ('000)</t>
  </si>
  <si>
    <t>Employees (FTE)</t>
  </si>
  <si>
    <t>Goodwill</t>
  </si>
  <si>
    <t>Customer contracts</t>
  </si>
  <si>
    <t>Deferred tax assets</t>
  </si>
  <si>
    <t>Total intangible assets</t>
  </si>
  <si>
    <t>Land,  buildings and equipment</t>
  </si>
  <si>
    <t>Right-of-use assets</t>
  </si>
  <si>
    <t>Total tangible assets</t>
  </si>
  <si>
    <t>Other financial assets</t>
  </si>
  <si>
    <t>Total non-current assets</t>
  </si>
  <si>
    <t>Inventories</t>
  </si>
  <si>
    <t>Trade receivables</t>
  </si>
  <si>
    <t>Other receivables</t>
  </si>
  <si>
    <t>Cash and cash equivalents</t>
  </si>
  <si>
    <t>Total current assets</t>
  </si>
  <si>
    <t>Share capital</t>
  </si>
  <si>
    <t>Treasury shares</t>
  </si>
  <si>
    <t>Reserves and retained earnings</t>
  </si>
  <si>
    <t>ECIT AS shareholders share of equity</t>
  </si>
  <si>
    <t>Total equity</t>
  </si>
  <si>
    <t>Lease liabilities</t>
  </si>
  <si>
    <t>Borrowings</t>
  </si>
  <si>
    <t>Provisions</t>
  </si>
  <si>
    <t>Other non-current liabilites</t>
  </si>
  <si>
    <t>Deferred tax liabilities</t>
  </si>
  <si>
    <t>Total non-current liabilities</t>
  </si>
  <si>
    <t>Tax payables</t>
  </si>
  <si>
    <t>Trade payables</t>
  </si>
  <si>
    <t>Other current liabilites</t>
  </si>
  <si>
    <t>Total current liabilities</t>
  </si>
  <si>
    <t>Total equity and liabilities</t>
  </si>
  <si>
    <t>0.5x</t>
  </si>
  <si>
    <t>0.4x</t>
  </si>
  <si>
    <t>0.2x</t>
  </si>
  <si>
    <t>0.0x</t>
  </si>
  <si>
    <t>0.1x</t>
  </si>
  <si>
    <t>0.3x</t>
  </si>
  <si>
    <t>Group accounts</t>
  </si>
  <si>
    <t>Group Financial highligts</t>
  </si>
  <si>
    <t>Group P&amp;L incl. split on divisions</t>
  </si>
  <si>
    <t>Group Balance sheet</t>
  </si>
  <si>
    <t>Group Cash flow</t>
  </si>
  <si>
    <t>For further information please contact:</t>
  </si>
  <si>
    <t>Mads Skovgaard</t>
  </si>
  <si>
    <t>CFO</t>
  </si>
  <si>
    <t>mskovgaard@ecit.com</t>
  </si>
  <si>
    <t>+45 2780 4942</t>
  </si>
  <si>
    <t>Financial Highlights</t>
  </si>
  <si>
    <t>ECIT Group</t>
  </si>
  <si>
    <t>(NOKm)</t>
  </si>
  <si>
    <t>Profit and Loss statement,</t>
  </si>
  <si>
    <t>Cash flow statement</t>
  </si>
  <si>
    <t>Balance sheet</t>
  </si>
  <si>
    <t>Assets, NOKm</t>
  </si>
  <si>
    <t>Equity &amp; Liabilities, NOKm</t>
  </si>
  <si>
    <t>Tech Division</t>
  </si>
  <si>
    <t>Total M&amp;A revenue growth, %</t>
  </si>
  <si>
    <t>Q2 2022</t>
  </si>
  <si>
    <t>Total financial assets</t>
  </si>
  <si>
    <t>Other receivables, interest bearing</t>
  </si>
  <si>
    <t>Tax receivables</t>
  </si>
  <si>
    <t>Deferred income</t>
  </si>
  <si>
    <t>Dividend</t>
  </si>
  <si>
    <t>Total current assets, ex cash</t>
  </si>
  <si>
    <t>Net interest bearing debt</t>
  </si>
  <si>
    <t>Total interest bearing liabilities</t>
  </si>
  <si>
    <t>Interest bearing receivables</t>
  </si>
  <si>
    <t>Total interest bearing assets</t>
  </si>
  <si>
    <t>Net debt / Net cash (-)</t>
  </si>
  <si>
    <t>Other interest bearing liabilities</t>
  </si>
  <si>
    <t>0.6x</t>
  </si>
  <si>
    <t>Financial income</t>
  </si>
  <si>
    <t>Financial expenses</t>
  </si>
  <si>
    <t>Depreciations of rights-of-use assets</t>
  </si>
  <si>
    <t>Depreciations of fixed tangible assets</t>
  </si>
  <si>
    <t>Dividends distributed, minorities</t>
  </si>
  <si>
    <t>Dividends distributed, ECIT AS shareholders</t>
  </si>
  <si>
    <t>Amortisations intangible assets</t>
  </si>
  <si>
    <t>Q3 2022</t>
  </si>
  <si>
    <t>Software</t>
  </si>
  <si>
    <t>Software investments in % of revenue****</t>
  </si>
  <si>
    <t>Net investments in software</t>
  </si>
  <si>
    <t>Q4 2022</t>
  </si>
  <si>
    <t>FY 2022</t>
  </si>
  <si>
    <t>0.8x</t>
  </si>
  <si>
    <t>Restructuring &amp; transaction costs, net</t>
  </si>
  <si>
    <t>EBITDA after restructuring &amp; transaction costs</t>
  </si>
  <si>
    <t>Restructuring &amp; transaction costs</t>
  </si>
  <si>
    <t>EBITDA before restructuring &amp; transaction costs</t>
  </si>
  <si>
    <t>EBITDA-margin after restructuring &amp; transaction costs</t>
  </si>
  <si>
    <t>EBITDA-margin</t>
  </si>
  <si>
    <t>EBITDA</t>
  </si>
  <si>
    <t>EBIT</t>
  </si>
  <si>
    <t>Free 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</si>
</sst>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\ %"/>
    <numFmt numFmtId="166" formatCode="#,##0.000"/>
  </numFmts>
  <fonts count="12">
    <font>
      <sz val="11"/>
      <color theme="1"/>
      <name val="Century Gothic"/>
      <family val="2"/>
    </font>
    <font>
      <u/>
      <sz val="11"/>
      <color theme="10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Manrope"/>
      <scheme val="minor"/>
    </font>
    <font>
      <sz val="11"/>
      <color theme="1"/>
      <name val="Manrope"/>
      <scheme val="minor"/>
    </font>
    <font>
      <b/>
      <sz val="11"/>
      <color theme="1"/>
      <name val="Manrope"/>
      <scheme val="minor"/>
    </font>
    <font>
      <sz val="11"/>
      <name val="Manrope"/>
      <scheme val="minor"/>
    </font>
    <font>
      <b/>
      <i/>
      <sz val="11"/>
      <color theme="1"/>
      <name val="Manrope"/>
      <scheme val="minor"/>
    </font>
    <font>
      <b/>
      <sz val="18"/>
      <color theme="1"/>
      <name val="Manrope"/>
      <scheme val="minor"/>
    </font>
    <font>
      <u/>
      <sz val="12"/>
      <color theme="10"/>
      <name val="Manrope"/>
      <scheme val="minor"/>
    </font>
    <font>
      <i/>
      <sz val="11"/>
      <color theme="1"/>
      <name val="Manrope"/>
      <scheme val="minor"/>
    </font>
    <font>
      <u/>
      <sz val="11"/>
      <color theme="10"/>
      <name val="Manrope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4" fillId="0" borderId="0" xfId="0" applyNumberFormat="1" applyFont="1"/>
    <xf numFmtId="3" fontId="5" fillId="2" borderId="2" xfId="0" applyNumberFormat="1" applyFont="1" applyFill="1" applyBorder="1"/>
    <xf numFmtId="3" fontId="4" fillId="0" borderId="3" xfId="0" applyNumberFormat="1" applyFont="1" applyBorder="1"/>
    <xf numFmtId="1" fontId="4" fillId="0" borderId="0" xfId="0" applyNumberFormat="1" applyFont="1"/>
    <xf numFmtId="0" fontId="4" fillId="0" borderId="1" xfId="0" applyFont="1" applyBorder="1"/>
    <xf numFmtId="3" fontId="4" fillId="0" borderId="1" xfId="0" applyNumberFormat="1" applyFont="1" applyBorder="1"/>
    <xf numFmtId="3" fontId="5" fillId="2" borderId="4" xfId="0" applyNumberFormat="1" applyFont="1" applyFill="1" applyBorder="1"/>
    <xf numFmtId="3" fontId="4" fillId="0" borderId="5" xfId="0" applyNumberFormat="1" applyFont="1" applyBorder="1"/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3" fontId="5" fillId="2" borderId="2" xfId="0" applyNumberFormat="1" applyFont="1" applyFill="1" applyBorder="1" applyAlignment="1">
      <alignment horizontal="right"/>
    </xf>
    <xf numFmtId="3" fontId="4" fillId="0" borderId="3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1" fontId="4" fillId="0" borderId="3" xfId="0" applyNumberFormat="1" applyFont="1" applyBorder="1"/>
    <xf numFmtId="0" fontId="5" fillId="0" borderId="1" xfId="0" applyFont="1" applyBorder="1"/>
    <xf numFmtId="1" fontId="4" fillId="0" borderId="1" xfId="0" applyNumberFormat="1" applyFont="1" applyBorder="1"/>
    <xf numFmtId="1" fontId="5" fillId="2" borderId="4" xfId="0" applyNumberFormat="1" applyFont="1" applyFill="1" applyBorder="1"/>
    <xf numFmtId="1" fontId="4" fillId="0" borderId="5" xfId="0" applyNumberFormat="1" applyFont="1" applyBorder="1"/>
    <xf numFmtId="0" fontId="5" fillId="0" borderId="5" xfId="0" applyFont="1" applyBorder="1"/>
    <xf numFmtId="0" fontId="5" fillId="2" borderId="2" xfId="0" applyFont="1" applyFill="1" applyBorder="1"/>
    <xf numFmtId="0" fontId="4" fillId="0" borderId="3" xfId="0" applyFont="1" applyBorder="1"/>
    <xf numFmtId="164" fontId="4" fillId="0" borderId="0" xfId="0" applyNumberFormat="1" applyFont="1"/>
    <xf numFmtId="164" fontId="5" fillId="2" borderId="2" xfId="0" applyNumberFormat="1" applyFont="1" applyFill="1" applyBorder="1"/>
    <xf numFmtId="164" fontId="4" fillId="0" borderId="3" xfId="0" applyNumberFormat="1" applyFont="1" applyBorder="1"/>
    <xf numFmtId="165" fontId="4" fillId="0" borderId="0" xfId="2" applyNumberFormat="1" applyFont="1"/>
    <xf numFmtId="164" fontId="4" fillId="0" borderId="0" xfId="0" applyNumberFormat="1" applyFont="1" applyAlignment="1">
      <alignment horizontal="right"/>
    </xf>
    <xf numFmtId="165" fontId="4" fillId="0" borderId="0" xfId="2" applyNumberFormat="1" applyFont="1" applyFill="1"/>
    <xf numFmtId="1" fontId="5" fillId="2" borderId="2" xfId="0" applyNumberFormat="1" applyFont="1" applyFill="1" applyBorder="1"/>
    <xf numFmtId="2" fontId="4" fillId="0" borderId="0" xfId="0" applyNumberFormat="1" applyFont="1"/>
    <xf numFmtId="2" fontId="4" fillId="2" borderId="2" xfId="0" applyNumberFormat="1" applyFont="1" applyFill="1" applyBorder="1"/>
    <xf numFmtId="2" fontId="4" fillId="0" borderId="3" xfId="0" applyNumberFormat="1" applyFont="1" applyBorder="1"/>
    <xf numFmtId="3" fontId="4" fillId="2" borderId="2" xfId="0" applyNumberFormat="1" applyFont="1" applyFill="1" applyBorder="1"/>
    <xf numFmtId="0" fontId="5" fillId="2" borderId="4" xfId="0" applyFont="1" applyFill="1" applyBorder="1"/>
    <xf numFmtId="0" fontId="4" fillId="0" borderId="5" xfId="0" applyFont="1" applyBorder="1"/>
    <xf numFmtId="0" fontId="5" fillId="0" borderId="6" xfId="0" applyFont="1" applyBorder="1"/>
    <xf numFmtId="3" fontId="5" fillId="0" borderId="6" xfId="0" applyNumberFormat="1" applyFont="1" applyBorder="1"/>
    <xf numFmtId="3" fontId="5" fillId="2" borderId="7" xfId="0" applyNumberFormat="1" applyFont="1" applyFill="1" applyBorder="1"/>
    <xf numFmtId="164" fontId="5" fillId="0" borderId="0" xfId="0" applyNumberFormat="1" applyFont="1"/>
    <xf numFmtId="3" fontId="5" fillId="0" borderId="0" xfId="0" applyNumberFormat="1" applyFont="1"/>
    <xf numFmtId="3" fontId="6" fillId="0" borderId="0" xfId="0" applyNumberFormat="1" applyFont="1"/>
    <xf numFmtId="164" fontId="4" fillId="2" borderId="2" xfId="0" applyNumberFormat="1" applyFont="1" applyFill="1" applyBorder="1"/>
    <xf numFmtId="0" fontId="4" fillId="0" borderId="0" xfId="0" applyFont="1" applyAlignment="1">
      <alignment wrapText="1"/>
    </xf>
    <xf numFmtId="166" fontId="4" fillId="0" borderId="0" xfId="0" applyNumberFormat="1" applyFont="1"/>
    <xf numFmtId="0" fontId="4" fillId="3" borderId="0" xfId="0" applyFont="1" applyFill="1"/>
    <xf numFmtId="3" fontId="4" fillId="3" borderId="0" xfId="0" applyNumberFormat="1" applyFont="1" applyFill="1"/>
    <xf numFmtId="3" fontId="4" fillId="3" borderId="2" xfId="0" applyNumberFormat="1" applyFont="1" applyFill="1" applyBorder="1"/>
    <xf numFmtId="0" fontId="5" fillId="2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/>
    </xf>
    <xf numFmtId="10" fontId="4" fillId="0" borderId="0" xfId="0" applyNumberFormat="1" applyFont="1"/>
    <xf numFmtId="0" fontId="5" fillId="0" borderId="6" xfId="0" applyFont="1" applyBorder="1" applyAlignment="1">
      <alignment wrapText="1"/>
    </xf>
    <xf numFmtId="4" fontId="4" fillId="0" borderId="0" xfId="0" applyNumberFormat="1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2" borderId="2" xfId="0" applyFont="1" applyFill="1" applyBorder="1"/>
    <xf numFmtId="1" fontId="5" fillId="0" borderId="6" xfId="0" applyNumberFormat="1" applyFont="1" applyBorder="1"/>
    <xf numFmtId="1" fontId="5" fillId="2" borderId="7" xfId="0" applyNumberFormat="1" applyFont="1" applyFill="1" applyBorder="1"/>
    <xf numFmtId="1" fontId="4" fillId="2" borderId="2" xfId="0" applyNumberFormat="1" applyFont="1" applyFill="1" applyBorder="1"/>
    <xf numFmtId="3" fontId="5" fillId="0" borderId="3" xfId="0" applyNumberFormat="1" applyFont="1" applyBorder="1"/>
    <xf numFmtId="1" fontId="5" fillId="0" borderId="0" xfId="0" applyNumberFormat="1" applyFont="1"/>
    <xf numFmtId="0" fontId="7" fillId="0" borderId="0" xfId="0" applyFont="1"/>
    <xf numFmtId="0" fontId="5" fillId="2" borderId="0" xfId="0" applyFont="1" applyFill="1"/>
    <xf numFmtId="0" fontId="8" fillId="0" borderId="0" xfId="0" applyFont="1"/>
    <xf numFmtId="0" fontId="9" fillId="0" borderId="0" xfId="1" applyFont="1"/>
    <xf numFmtId="0" fontId="10" fillId="0" borderId="0" xfId="0" applyFont="1"/>
    <xf numFmtId="0" fontId="11" fillId="0" borderId="0" xfId="1" applyFont="1"/>
    <xf numFmtId="0" fontId="4" fillId="0" borderId="0" xfId="0" quotePrefix="1" applyFont="1"/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5</xdr:col>
      <xdr:colOff>620183</xdr:colOff>
      <xdr:row>12</xdr:row>
      <xdr:rowOff>123825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063B69-A908-4965-B31B-8FCC67AD7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0"/>
          <a:ext cx="3315758" cy="2295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466725</xdr:colOff>
      <xdr:row>0</xdr:row>
      <xdr:rowOff>47625</xdr:rowOff>
    </xdr:from>
    <xdr:to>
      <xdr:col>15</xdr:col>
      <xdr:colOff>590550</xdr:colOff>
      <xdr:row>1</xdr:row>
      <xdr:rowOff>238125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3EB40F-32A9-4D71-BEA7-C6C9293468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69" b="12909"/>
        <a:stretch/>
      </xdr:blipFill>
      <xdr:spPr>
        <a:xfrm>
          <a:off x="13782675" y="47625"/>
          <a:ext cx="990600" cy="495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266700</xdr:colOff>
      <xdr:row>0</xdr:row>
      <xdr:rowOff>57150</xdr:rowOff>
    </xdr:from>
    <xdr:to>
      <xdr:col>15</xdr:col>
      <xdr:colOff>582930</xdr:colOff>
      <xdr:row>1</xdr:row>
      <xdr:rowOff>253365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9BFEA62-96D3-45BA-B6BD-99F118AF916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69" b="12909"/>
        <a:stretch/>
      </xdr:blipFill>
      <xdr:spPr>
        <a:xfrm>
          <a:off x="13268325" y="57150"/>
          <a:ext cx="1002030" cy="5010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304800</xdr:colOff>
      <xdr:row>0</xdr:row>
      <xdr:rowOff>76200</xdr:rowOff>
    </xdr:from>
    <xdr:to>
      <xdr:col>15</xdr:col>
      <xdr:colOff>609600</xdr:colOff>
      <xdr:row>1</xdr:row>
      <xdr:rowOff>266700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E1FF95-019A-438A-8B65-2BD4AECCC66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69" b="12909"/>
        <a:stretch/>
      </xdr:blipFill>
      <xdr:spPr>
        <a:xfrm>
          <a:off x="13192125" y="76200"/>
          <a:ext cx="990600" cy="495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250825</xdr:colOff>
      <xdr:row>0</xdr:row>
      <xdr:rowOff>66675</xdr:rowOff>
    </xdr:from>
    <xdr:to>
      <xdr:col>15</xdr:col>
      <xdr:colOff>555625</xdr:colOff>
      <xdr:row>1</xdr:row>
      <xdr:rowOff>257175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47D1FA0-27F3-4888-A9C7-F025A0ED10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69" b="12909"/>
        <a:stretch/>
      </xdr:blipFill>
      <xdr:spPr>
        <a:xfrm>
          <a:off x="12284075" y="66675"/>
          <a:ext cx="987425" cy="492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ECIT Group">
  <a:themeElements>
    <a:clrScheme name="Custom 3">
      <a:dk1>
        <a:srgbClr val="000000"/>
      </a:dk1>
      <a:lt1>
        <a:srgbClr val="FFFFFF"/>
      </a:lt1>
      <a:dk2>
        <a:srgbClr val="002C55"/>
      </a:dk2>
      <a:lt2>
        <a:srgbClr val="FBF7EF"/>
      </a:lt2>
      <a:accent1>
        <a:srgbClr val="002C55"/>
      </a:accent1>
      <a:accent2>
        <a:srgbClr val="2377BA"/>
      </a:accent2>
      <a:accent3>
        <a:srgbClr val="5BBA7C"/>
      </a:accent3>
      <a:accent4>
        <a:srgbClr val="3E417F"/>
      </a:accent4>
      <a:accent5>
        <a:srgbClr val="F3EDDC"/>
      </a:accent5>
      <a:accent6>
        <a:srgbClr val="EAEEF1"/>
      </a:accent6>
      <a:hlink>
        <a:srgbClr val="58595B"/>
      </a:hlink>
      <a:folHlink>
        <a:srgbClr val="58595B"/>
      </a:folHlink>
    </a:clrScheme>
    <a:fontScheme name="ECIT template">
      <a:majorFont>
        <a:latin typeface="Manrope ExtraBold"/>
        <a:ea typeface=""/>
        <a:cs typeface=""/>
      </a:majorFont>
      <a:minorFont>
        <a:latin typeface="Manrop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bg1"/>
        </a:solidFill>
        <a:ln w="6350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192000" tIns="192000" rIns="192000" bIns="192000" numCol="1" rtlCol="0" anchor="t" anchorCtr="0" compatLnSpc="1">
        <a:prstTxWarp prst="textNoShape">
          <a:avLst/>
        </a:prstTxWarp>
      </a:bodyPr>
      <a:lstStyle>
        <a:defPPr algn="l" fontAlgn="base">
          <a:lnSpc>
            <a:spcPts val="2133"/>
          </a:lnSpc>
          <a:buClr>
            <a:srgbClr val="5F688C"/>
          </a:buClr>
          <a:defRPr sz="1600" kern="800" spc="-11" dirty="0" err="1">
            <a:ea typeface="Inter" panose="020B0502030000000004" pitchFamily="34" charset="0"/>
            <a:cs typeface="Inter" panose="020B0502030000000004" pitchFamily="34" charset="0"/>
          </a:defRPr>
        </a:defPPr>
      </a:lstStyle>
    </a:spDef>
    <a:txDef>
      <a:spPr>
        <a:noFill/>
      </a:spPr>
      <a:bodyPr wrap="square" lIns="0" tIns="0" rIns="0" bIns="0">
        <a:spAutoFit/>
      </a:bodyPr>
      <a:lstStyle>
        <a:defPPr marL="0" indent="0" algn="l">
          <a:lnSpc>
            <a:spcPts val="2500"/>
          </a:lnSpc>
          <a:buNone/>
          <a:defRPr sz="1500" dirty="0"/>
        </a:defPPr>
      </a:lstStyle>
    </a:txDef>
  </a:objectDefaults>
  <a:extraClrSchemeLst/>
  <a:extLst>
    <a:ext uri="{05A4C25C-085E-4340-85A3-A5531E510DB2}">
      <thm15:themeFamily xmlns:thm15="http://schemas.microsoft.com/office/thememl/2012/main" name="ECIT Group" id="{9E78BD75-BAE4-4B99-AA50-F9E89243CF78}" vid="{E2621337-FCEA-40F6-BE13-01E9E01340BC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skovgaard@ecit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B40B3-2D71-4D5A-8345-767855988195}">
  <dimension ref="B13:B26"/>
  <sheetViews>
    <sheetView showGridLines="0" workbookViewId="0">
      <selection activeCell="J29" sqref="J29"/>
    </sheetView>
  </sheetViews>
  <sheetFormatPr defaultRowHeight="14.25"/>
  <cols>
    <col min="1" max="16384" width="9" style="2"/>
  </cols>
  <sheetData>
    <row r="13" spans="2:2" ht="23.25">
      <c r="B13" s="71" t="s">
        <v>118</v>
      </c>
    </row>
    <row r="15" spans="2:2" ht="15">
      <c r="B15" s="72" t="s">
        <v>119</v>
      </c>
    </row>
    <row r="16" spans="2:2" ht="15">
      <c r="B16" s="72" t="s">
        <v>120</v>
      </c>
    </row>
    <row r="17" spans="2:2" ht="15">
      <c r="B17" s="72" t="s">
        <v>122</v>
      </c>
    </row>
    <row r="18" spans="2:2" ht="15">
      <c r="B18" s="72" t="s">
        <v>121</v>
      </c>
    </row>
    <row r="21" spans="2:2">
      <c r="B21" s="73" t="s">
        <v>123</v>
      </c>
    </row>
    <row r="22" spans="2:2" ht="10.5" customHeight="1"/>
    <row r="23" spans="2:2">
      <c r="B23" s="2" t="s">
        <v>124</v>
      </c>
    </row>
    <row r="24" spans="2:2">
      <c r="B24" s="2" t="s">
        <v>125</v>
      </c>
    </row>
    <row r="25" spans="2:2">
      <c r="B25" s="74" t="s">
        <v>126</v>
      </c>
    </row>
    <row r="26" spans="2:2">
      <c r="B26" s="75" t="s">
        <v>127</v>
      </c>
    </row>
  </sheetData>
  <hyperlinks>
    <hyperlink ref="B15" location="'Financial highlights'!A1" display="Group Financial highligts" xr:uid="{6D3D009A-7119-41FE-A997-3BF8C7E1C9A2}"/>
    <hyperlink ref="B16" location="'P&amp;L'!A1" display="Group P&amp;L incl. split on divisions" xr:uid="{38C4A248-C6A3-4671-A44A-DAB8C1F351E4}"/>
    <hyperlink ref="B17" location="CF!A1" display="Group Cash flow" xr:uid="{7DD19D42-D520-4A36-BB41-DB7D13FBBB2D}"/>
    <hyperlink ref="B18" location="BS!A1" display="Group Balance sheet" xr:uid="{1CB1AF4F-8D54-4152-BB13-06A8D8A2FA1A}"/>
    <hyperlink ref="B25" r:id="rId1" xr:uid="{2CD68994-B045-4D60-B46E-61B41091900D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7D808-FC80-4BC4-BA26-CBF0293C4121}">
  <dimension ref="A1:P48"/>
  <sheetViews>
    <sheetView showGridLines="0" view="pageBreakPreview" zoomScaleNormal="100" zoomScaleSheetLayoutView="100" workbookViewId="0">
      <selection activeCell="A10" sqref="A10"/>
    </sheetView>
  </sheetViews>
  <sheetFormatPr defaultRowHeight="15" outlineLevelCol="1"/>
  <cols>
    <col min="1" max="1" width="57.75" style="2" bestFit="1" customWidth="1"/>
    <col min="2" max="5" width="9" style="2" outlineLevel="1"/>
    <col min="6" max="6" width="9" style="3"/>
    <col min="7" max="10" width="9" style="2" customWidth="1" outlineLevel="1"/>
    <col min="11" max="11" width="9" style="3"/>
    <col min="12" max="12" width="9" style="2" customWidth="1" outlineLevel="1"/>
    <col min="13" max="14" width="9" style="2" outlineLevel="1"/>
    <col min="15" max="15" width="11.375" style="2" bestFit="1" customWidth="1" outlineLevel="1"/>
    <col min="16" max="16384" width="9" style="2"/>
  </cols>
  <sheetData>
    <row r="1" spans="1:16" ht="24" customHeight="1">
      <c r="A1" s="1" t="s">
        <v>128</v>
      </c>
    </row>
    <row r="2" spans="1:16" ht="24" customHeight="1">
      <c r="A2" s="1" t="s">
        <v>129</v>
      </c>
    </row>
    <row r="3" spans="1:16" s="8" customFormat="1" ht="20.25" customHeight="1">
      <c r="A3" s="4" t="s">
        <v>130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7" t="s">
        <v>10</v>
      </c>
      <c r="H3" s="5" t="s">
        <v>11</v>
      </c>
      <c r="I3" s="5" t="s">
        <v>12</v>
      </c>
      <c r="J3" s="5" t="s">
        <v>13</v>
      </c>
      <c r="K3" s="6" t="s">
        <v>14</v>
      </c>
      <c r="L3" s="7" t="s">
        <v>50</v>
      </c>
      <c r="M3" s="5" t="s">
        <v>138</v>
      </c>
      <c r="N3" s="5" t="s">
        <v>159</v>
      </c>
      <c r="O3" s="5" t="s">
        <v>163</v>
      </c>
      <c r="P3" s="6" t="s">
        <v>164</v>
      </c>
    </row>
    <row r="4" spans="1:16" s="3" customFormat="1">
      <c r="A4" s="3" t="s">
        <v>51</v>
      </c>
      <c r="B4" s="9"/>
      <c r="C4" s="9"/>
      <c r="D4" s="9"/>
      <c r="E4" s="9"/>
      <c r="F4" s="10"/>
      <c r="G4" s="11"/>
      <c r="H4" s="9"/>
      <c r="I4" s="9"/>
      <c r="J4" s="9"/>
      <c r="K4" s="10"/>
      <c r="L4" s="11"/>
      <c r="M4" s="9"/>
      <c r="N4" s="9"/>
      <c r="P4" s="10"/>
    </row>
    <row r="5" spans="1:16">
      <c r="A5" s="2" t="s">
        <v>0</v>
      </c>
      <c r="B5" s="9">
        <v>444</v>
      </c>
      <c r="C5" s="9">
        <v>445</v>
      </c>
      <c r="D5" s="9">
        <v>411</v>
      </c>
      <c r="E5" s="9">
        <f>+F5-B5-C5-D5</f>
        <v>482</v>
      </c>
      <c r="F5" s="10">
        <v>1782</v>
      </c>
      <c r="G5" s="11">
        <v>540.97105295030008</v>
      </c>
      <c r="H5" s="9">
        <v>606.81799949170022</v>
      </c>
      <c r="I5" s="9">
        <v>540.97670477530005</v>
      </c>
      <c r="J5" s="9">
        <v>629.11577144050011</v>
      </c>
      <c r="K5" s="10">
        <v>2317.8815286578001</v>
      </c>
      <c r="L5" s="11">
        <v>685</v>
      </c>
      <c r="M5" s="9">
        <v>704</v>
      </c>
      <c r="N5" s="9">
        <v>645</v>
      </c>
      <c r="O5" s="9">
        <v>792</v>
      </c>
      <c r="P5" s="10">
        <v>2826</v>
      </c>
    </row>
    <row r="6" spans="1:16">
      <c r="A6" s="2" t="s">
        <v>19</v>
      </c>
      <c r="B6" s="9">
        <v>46</v>
      </c>
      <c r="C6" s="9">
        <v>57</v>
      </c>
      <c r="D6" s="9">
        <v>64</v>
      </c>
      <c r="E6" s="9">
        <v>88</v>
      </c>
      <c r="F6" s="10">
        <v>256</v>
      </c>
      <c r="G6" s="11">
        <v>66</v>
      </c>
      <c r="H6" s="9">
        <v>80</v>
      </c>
      <c r="I6" s="9">
        <v>80</v>
      </c>
      <c r="J6" s="9">
        <v>113</v>
      </c>
      <c r="K6" s="10">
        <v>339</v>
      </c>
      <c r="L6" s="11">
        <v>87</v>
      </c>
      <c r="M6" s="9">
        <v>96.56849698089988</v>
      </c>
      <c r="N6" s="9">
        <v>98.662127916500324</v>
      </c>
      <c r="O6" s="9">
        <v>135</v>
      </c>
      <c r="P6" s="10">
        <v>418</v>
      </c>
    </row>
    <row r="7" spans="1:16">
      <c r="A7" s="2" t="s">
        <v>20</v>
      </c>
      <c r="B7" s="9">
        <v>19</v>
      </c>
      <c r="C7" s="9">
        <v>27</v>
      </c>
      <c r="D7" s="9">
        <v>31</v>
      </c>
      <c r="E7" s="9">
        <v>44</v>
      </c>
      <c r="F7" s="10">
        <v>121</v>
      </c>
      <c r="G7" s="11">
        <v>32</v>
      </c>
      <c r="H7" s="9">
        <v>38</v>
      </c>
      <c r="I7" s="9">
        <v>36</v>
      </c>
      <c r="J7" s="9">
        <f>+K7-G7-H7-I7</f>
        <v>58</v>
      </c>
      <c r="K7" s="10">
        <v>164</v>
      </c>
      <c r="L7" s="11">
        <v>38</v>
      </c>
      <c r="M7" s="9">
        <v>44</v>
      </c>
      <c r="N7" s="9">
        <v>53</v>
      </c>
      <c r="O7" s="9">
        <v>81.755369994599988</v>
      </c>
      <c r="P7" s="10">
        <v>217.02074881380017</v>
      </c>
    </row>
    <row r="8" spans="1:16">
      <c r="A8" s="2" t="s">
        <v>166</v>
      </c>
      <c r="B8" s="9">
        <v>0</v>
      </c>
      <c r="C8" s="9">
        <v>0</v>
      </c>
      <c r="D8" s="9">
        <v>0</v>
      </c>
      <c r="E8" s="9">
        <v>-1</v>
      </c>
      <c r="F8" s="10">
        <v>-1</v>
      </c>
      <c r="G8" s="11">
        <v>0</v>
      </c>
      <c r="H8" s="9">
        <v>-8</v>
      </c>
      <c r="I8" s="9">
        <v>0</v>
      </c>
      <c r="J8" s="9">
        <v>-1</v>
      </c>
      <c r="K8" s="10">
        <v>-9</v>
      </c>
      <c r="L8" s="11">
        <v>-4</v>
      </c>
      <c r="M8" s="9">
        <v>-5.1910186200000004</v>
      </c>
      <c r="N8" s="9">
        <v>-2.4104149500000016</v>
      </c>
      <c r="O8" s="9">
        <v>-1</v>
      </c>
      <c r="P8" s="10">
        <v>-13</v>
      </c>
    </row>
    <row r="9" spans="1:16" s="3" customFormat="1">
      <c r="A9" s="2" t="s">
        <v>49</v>
      </c>
      <c r="B9" s="9">
        <v>-1</v>
      </c>
      <c r="C9" s="9">
        <v>-1</v>
      </c>
      <c r="D9" s="9">
        <v>41</v>
      </c>
      <c r="E9" s="9">
        <v>4</v>
      </c>
      <c r="F9" s="10">
        <v>44</v>
      </c>
      <c r="G9" s="11">
        <v>-3</v>
      </c>
      <c r="H9" s="9">
        <v>-7</v>
      </c>
      <c r="I9" s="9">
        <v>-2</v>
      </c>
      <c r="J9" s="9">
        <v>-2</v>
      </c>
      <c r="K9" s="10">
        <v>-14</v>
      </c>
      <c r="L9" s="11">
        <v>3</v>
      </c>
      <c r="M9" s="9">
        <v>-1.4448684543000003</v>
      </c>
      <c r="N9" s="9">
        <v>5.8161409010999954</v>
      </c>
      <c r="O9" s="2">
        <v>5</v>
      </c>
      <c r="P9" s="10">
        <v>11</v>
      </c>
    </row>
    <row r="10" spans="1:16">
      <c r="A10" s="2" t="s">
        <v>23</v>
      </c>
      <c r="B10" s="9">
        <v>5</v>
      </c>
      <c r="C10" s="9">
        <v>20</v>
      </c>
      <c r="D10" s="9">
        <v>63</v>
      </c>
      <c r="E10" s="9">
        <v>33</v>
      </c>
      <c r="F10" s="10">
        <v>121</v>
      </c>
      <c r="G10" s="11">
        <v>22</v>
      </c>
      <c r="H10" s="9">
        <v>17</v>
      </c>
      <c r="I10" s="9">
        <v>25</v>
      </c>
      <c r="J10" s="9">
        <v>51</v>
      </c>
      <c r="K10" s="10">
        <v>115</v>
      </c>
      <c r="L10" s="11">
        <v>32</v>
      </c>
      <c r="M10" s="9">
        <v>33.049644365399878</v>
      </c>
      <c r="N10" s="9">
        <v>45.001689707700322</v>
      </c>
      <c r="O10" s="12">
        <v>66.679036331699919</v>
      </c>
      <c r="P10" s="10">
        <v>177.02467755710018</v>
      </c>
    </row>
    <row r="11" spans="1:16">
      <c r="A11" s="2" t="s">
        <v>52</v>
      </c>
      <c r="B11" s="9">
        <v>5</v>
      </c>
      <c r="C11" s="9">
        <v>20</v>
      </c>
      <c r="D11" s="9">
        <v>22</v>
      </c>
      <c r="E11" s="9">
        <v>34</v>
      </c>
      <c r="F11" s="10">
        <v>80</v>
      </c>
      <c r="G11" s="11">
        <v>22</v>
      </c>
      <c r="H11" s="9">
        <v>29</v>
      </c>
      <c r="I11" s="9">
        <v>25</v>
      </c>
      <c r="J11" s="9">
        <v>54</v>
      </c>
      <c r="K11" s="10">
        <v>118</v>
      </c>
      <c r="L11" s="11">
        <v>25</v>
      </c>
      <c r="M11" s="9">
        <v>38</v>
      </c>
      <c r="N11" s="9">
        <v>33.223927747699911</v>
      </c>
      <c r="O11" s="12">
        <v>59.595542571699951</v>
      </c>
      <c r="P11" s="10">
        <v>159.34124832910015</v>
      </c>
    </row>
    <row r="12" spans="1:16">
      <c r="A12" s="2" t="s">
        <v>53</v>
      </c>
      <c r="B12" s="9">
        <v>2</v>
      </c>
      <c r="C12" s="9">
        <v>8</v>
      </c>
      <c r="D12" s="9">
        <v>11</v>
      </c>
      <c r="E12" s="9">
        <v>6</v>
      </c>
      <c r="F12" s="10">
        <v>26</v>
      </c>
      <c r="G12" s="11">
        <v>12</v>
      </c>
      <c r="H12" s="9">
        <v>16</v>
      </c>
      <c r="I12" s="9">
        <v>14</v>
      </c>
      <c r="J12" s="9">
        <v>22</v>
      </c>
      <c r="K12" s="10">
        <v>52</v>
      </c>
      <c r="L12" s="11">
        <v>15</v>
      </c>
      <c r="M12" s="9">
        <v>27</v>
      </c>
      <c r="N12" s="9">
        <v>17.00859492732226</v>
      </c>
      <c r="O12" s="12">
        <f>+O11*0.593</f>
        <v>35.340156745018071</v>
      </c>
      <c r="P12" s="10">
        <f>+SUM(L12:O12)</f>
        <v>94.348751672340342</v>
      </c>
    </row>
    <row r="13" spans="1:16" s="3" customFormat="1">
      <c r="A13" s="2" t="s">
        <v>54</v>
      </c>
      <c r="B13" s="9">
        <v>3</v>
      </c>
      <c r="C13" s="9">
        <v>12</v>
      </c>
      <c r="D13" s="9">
        <v>11</v>
      </c>
      <c r="E13" s="9">
        <v>28</v>
      </c>
      <c r="F13" s="10">
        <v>55</v>
      </c>
      <c r="G13" s="11">
        <v>10</v>
      </c>
      <c r="H13" s="9">
        <v>13</v>
      </c>
      <c r="I13" s="9">
        <v>11</v>
      </c>
      <c r="J13" s="9">
        <v>32</v>
      </c>
      <c r="K13" s="10">
        <v>66</v>
      </c>
      <c r="L13" s="11">
        <v>10</v>
      </c>
      <c r="M13" s="9">
        <v>11</v>
      </c>
      <c r="N13" s="9">
        <v>16.21533282037765</v>
      </c>
      <c r="O13" s="12">
        <f>+O11*0.407</f>
        <v>24.255385826681877</v>
      </c>
      <c r="P13" s="10">
        <f>+SUM(L13:O13)</f>
        <v>61.470718647059527</v>
      </c>
    </row>
    <row r="14" spans="1:16">
      <c r="A14" s="13"/>
      <c r="B14" s="14"/>
      <c r="C14" s="14"/>
      <c r="D14" s="14"/>
      <c r="E14" s="14"/>
      <c r="F14" s="15"/>
      <c r="G14" s="16"/>
      <c r="H14" s="14"/>
      <c r="I14" s="14"/>
      <c r="J14" s="14"/>
      <c r="K14" s="15"/>
      <c r="L14" s="16"/>
      <c r="M14" s="14"/>
      <c r="N14" s="14"/>
      <c r="O14" s="13"/>
      <c r="P14" s="15"/>
    </row>
    <row r="15" spans="1:16">
      <c r="A15" s="3" t="s">
        <v>55</v>
      </c>
      <c r="B15" s="9"/>
      <c r="C15" s="9"/>
      <c r="D15" s="9"/>
      <c r="E15" s="9"/>
      <c r="F15" s="10"/>
      <c r="G15" s="11"/>
      <c r="H15" s="9"/>
      <c r="I15" s="9"/>
      <c r="J15" s="9"/>
      <c r="K15" s="10"/>
      <c r="L15" s="11"/>
      <c r="M15" s="9"/>
      <c r="N15" s="9"/>
      <c r="P15" s="10"/>
    </row>
    <row r="16" spans="1:16">
      <c r="A16" s="2" t="s">
        <v>56</v>
      </c>
      <c r="B16" s="9">
        <v>1752</v>
      </c>
      <c r="C16" s="9">
        <v>1937</v>
      </c>
      <c r="D16" s="9">
        <v>1997</v>
      </c>
      <c r="E16" s="9">
        <v>2108</v>
      </c>
      <c r="F16" s="10">
        <v>2108</v>
      </c>
      <c r="G16" s="11">
        <v>2028</v>
      </c>
      <c r="H16" s="9">
        <v>2602</v>
      </c>
      <c r="I16" s="9">
        <v>2498</v>
      </c>
      <c r="J16" s="9">
        <v>2576</v>
      </c>
      <c r="K16" s="10">
        <v>2576</v>
      </c>
      <c r="L16" s="11">
        <v>2747</v>
      </c>
      <c r="M16" s="9">
        <v>2753.6016656777933</v>
      </c>
      <c r="N16" s="9">
        <v>2773.3966834245421</v>
      </c>
      <c r="O16" s="9">
        <v>3045</v>
      </c>
      <c r="P16" s="10">
        <v>3045</v>
      </c>
    </row>
    <row r="17" spans="1:16">
      <c r="A17" s="2" t="s">
        <v>57</v>
      </c>
      <c r="B17" s="9">
        <v>817</v>
      </c>
      <c r="C17" s="9">
        <v>839</v>
      </c>
      <c r="D17" s="9">
        <v>890</v>
      </c>
      <c r="E17" s="9">
        <v>876</v>
      </c>
      <c r="F17" s="10">
        <v>876</v>
      </c>
      <c r="G17" s="11">
        <v>796</v>
      </c>
      <c r="H17" s="9">
        <v>1209</v>
      </c>
      <c r="I17" s="9">
        <v>1204</v>
      </c>
      <c r="J17" s="9">
        <v>1217</v>
      </c>
      <c r="K17" s="10">
        <v>1217</v>
      </c>
      <c r="L17" s="11">
        <v>1199.2314754995998</v>
      </c>
      <c r="M17" s="9">
        <v>1245.8429999999998</v>
      </c>
      <c r="N17" s="9">
        <v>1266.2725698149231</v>
      </c>
      <c r="O17" s="9">
        <v>1288</v>
      </c>
      <c r="P17" s="10">
        <v>1288</v>
      </c>
    </row>
    <row r="18" spans="1:16">
      <c r="A18" s="2" t="s">
        <v>58</v>
      </c>
      <c r="B18" s="9">
        <v>144</v>
      </c>
      <c r="C18" s="9">
        <v>197</v>
      </c>
      <c r="D18" s="9">
        <v>191</v>
      </c>
      <c r="E18" s="9">
        <v>230</v>
      </c>
      <c r="F18" s="10">
        <v>230</v>
      </c>
      <c r="G18" s="11">
        <v>166</v>
      </c>
      <c r="H18" s="9">
        <v>192</v>
      </c>
      <c r="I18" s="9">
        <v>197</v>
      </c>
      <c r="J18" s="9">
        <v>223</v>
      </c>
      <c r="K18" s="10">
        <v>223</v>
      </c>
      <c r="L18" s="9">
        <v>207.45987724239998</v>
      </c>
      <c r="M18" s="9">
        <v>214.70839873519401</v>
      </c>
      <c r="N18" s="9">
        <v>233.28450009351909</v>
      </c>
      <c r="O18" s="9">
        <v>364</v>
      </c>
      <c r="P18" s="10">
        <v>364</v>
      </c>
    </row>
    <row r="19" spans="1:16">
      <c r="A19" s="2" t="s">
        <v>59</v>
      </c>
      <c r="B19" s="9">
        <v>-88</v>
      </c>
      <c r="C19" s="9">
        <v>-159</v>
      </c>
      <c r="D19" s="9">
        <v>-156</v>
      </c>
      <c r="E19" s="9">
        <v>-85</v>
      </c>
      <c r="F19" s="10">
        <v>-85</v>
      </c>
      <c r="G19" s="11">
        <v>-89</v>
      </c>
      <c r="H19" s="9">
        <v>-133</v>
      </c>
      <c r="I19" s="9">
        <v>-98</v>
      </c>
      <c r="J19" s="9">
        <v>-53</v>
      </c>
      <c r="K19" s="10">
        <v>-53</v>
      </c>
      <c r="L19" s="11">
        <v>-79</v>
      </c>
      <c r="M19" s="9">
        <v>-61</v>
      </c>
      <c r="N19" s="9">
        <v>-77.140683693300048</v>
      </c>
      <c r="O19" s="12">
        <v>-22.869593719198292</v>
      </c>
      <c r="P19" s="10">
        <v>-22.869593719198292</v>
      </c>
    </row>
    <row r="20" spans="1:16" s="3" customFormat="1">
      <c r="A20" s="2" t="s">
        <v>60</v>
      </c>
      <c r="B20" s="9">
        <v>58</v>
      </c>
      <c r="C20" s="9">
        <v>-8</v>
      </c>
      <c r="D20" s="9">
        <v>-42</v>
      </c>
      <c r="E20" s="9">
        <v>45</v>
      </c>
      <c r="F20" s="10">
        <v>45</v>
      </c>
      <c r="G20" s="11">
        <v>79</v>
      </c>
      <c r="H20" s="9">
        <v>-45</v>
      </c>
      <c r="I20" s="9">
        <v>125</v>
      </c>
      <c r="J20" s="9">
        <v>137</v>
      </c>
      <c r="K20" s="10">
        <v>137</v>
      </c>
      <c r="L20" s="11">
        <v>184</v>
      </c>
      <c r="M20" s="9">
        <v>215</v>
      </c>
      <c r="N20" s="9">
        <v>230.5441534946001</v>
      </c>
      <c r="O20" s="2">
        <v>350</v>
      </c>
      <c r="P20" s="10">
        <v>349.60270569650027</v>
      </c>
    </row>
    <row r="21" spans="1:16" s="22" customFormat="1">
      <c r="A21" s="17" t="s">
        <v>61</v>
      </c>
      <c r="B21" s="18" t="s">
        <v>117</v>
      </c>
      <c r="C21" s="18" t="s">
        <v>115</v>
      </c>
      <c r="D21" s="19" t="s">
        <v>114</v>
      </c>
      <c r="E21" s="18" t="s">
        <v>114</v>
      </c>
      <c r="F21" s="20" t="s">
        <v>114</v>
      </c>
      <c r="G21" s="21" t="s">
        <v>117</v>
      </c>
      <c r="H21" s="19" t="s">
        <v>116</v>
      </c>
      <c r="I21" s="18" t="s">
        <v>113</v>
      </c>
      <c r="J21" s="18" t="s">
        <v>113</v>
      </c>
      <c r="K21" s="20" t="s">
        <v>113</v>
      </c>
      <c r="L21" s="21" t="s">
        <v>112</v>
      </c>
      <c r="M21" s="18" t="s">
        <v>151</v>
      </c>
      <c r="N21" s="18" t="s">
        <v>151</v>
      </c>
      <c r="O21" s="22" t="s">
        <v>165</v>
      </c>
      <c r="P21" s="20" t="s">
        <v>165</v>
      </c>
    </row>
    <row r="22" spans="1:16">
      <c r="A22" s="13"/>
      <c r="B22" s="14"/>
      <c r="C22" s="14"/>
      <c r="D22" s="14"/>
      <c r="E22" s="14"/>
      <c r="F22" s="15"/>
      <c r="G22" s="16"/>
      <c r="H22" s="14"/>
      <c r="I22" s="14"/>
      <c r="J22" s="14"/>
      <c r="K22" s="15"/>
      <c r="L22" s="16"/>
      <c r="M22" s="14"/>
      <c r="N22" s="14"/>
      <c r="O22" s="13"/>
      <c r="P22" s="15"/>
    </row>
    <row r="23" spans="1:16">
      <c r="A23" s="3" t="s">
        <v>62</v>
      </c>
      <c r="B23" s="9"/>
      <c r="C23" s="9"/>
      <c r="D23" s="9"/>
      <c r="E23" s="9"/>
      <c r="F23" s="10"/>
      <c r="G23" s="11"/>
      <c r="H23" s="9"/>
      <c r="I23" s="9"/>
      <c r="J23" s="9"/>
      <c r="K23" s="10"/>
      <c r="L23" s="11"/>
      <c r="M23" s="9"/>
      <c r="N23" s="9"/>
      <c r="P23" s="10"/>
    </row>
    <row r="24" spans="1:16">
      <c r="A24" s="2" t="s">
        <v>63</v>
      </c>
      <c r="B24" s="9">
        <v>50.971840303500187</v>
      </c>
      <c r="C24" s="9">
        <v>108.96225287119967</v>
      </c>
      <c r="D24" s="9">
        <v>45.46844130680342</v>
      </c>
      <c r="E24" s="9">
        <v>53.777781947708377</v>
      </c>
      <c r="F24" s="10">
        <v>259.18031642921164</v>
      </c>
      <c r="G24" s="11">
        <v>49.21865771770058</v>
      </c>
      <c r="H24" s="9">
        <v>77.251836796234215</v>
      </c>
      <c r="I24" s="9">
        <v>59.272149527730448</v>
      </c>
      <c r="J24" s="9">
        <v>61.632105523906702</v>
      </c>
      <c r="K24" s="10">
        <v>249</v>
      </c>
      <c r="L24" s="11">
        <v>80</v>
      </c>
      <c r="M24" s="9">
        <v>59.793772235986722</v>
      </c>
      <c r="N24" s="9">
        <v>101.56331781560866</v>
      </c>
      <c r="O24" s="9">
        <v>85.642909948404622</v>
      </c>
      <c r="P24" s="10">
        <v>327</v>
      </c>
    </row>
    <row r="25" spans="1:16">
      <c r="A25" s="2" t="s">
        <v>64</v>
      </c>
      <c r="B25" s="9">
        <v>29.308394643400156</v>
      </c>
      <c r="C25" s="9">
        <v>92.839353166699709</v>
      </c>
      <c r="D25" s="9">
        <v>21.921855041503406</v>
      </c>
      <c r="E25" s="9">
        <v>29.334960254308374</v>
      </c>
      <c r="F25" s="10">
        <v>173.40456310591162</v>
      </c>
      <c r="G25" s="11">
        <v>23.83086961150055</v>
      </c>
      <c r="H25" s="9">
        <v>59.656730420534103</v>
      </c>
      <c r="I25" s="9">
        <v>34.314548146230564</v>
      </c>
      <c r="J25" s="9">
        <v>35.045955365706646</v>
      </c>
      <c r="K25" s="10">
        <v>154.4733539783999</v>
      </c>
      <c r="L25" s="11">
        <v>58</v>
      </c>
      <c r="M25" s="9">
        <v>38.457312971086722</v>
      </c>
      <c r="N25" s="9">
        <v>77.516354238608301</v>
      </c>
      <c r="O25" s="9">
        <v>47.026332790304991</v>
      </c>
      <c r="P25" s="10">
        <v>221</v>
      </c>
    </row>
    <row r="26" spans="1:16">
      <c r="A26" s="2" t="s">
        <v>65</v>
      </c>
      <c r="B26" s="9">
        <v>-18.621841535031834</v>
      </c>
      <c r="C26" s="9">
        <v>-43.380057157454765</v>
      </c>
      <c r="D26" s="9">
        <v>12.122760268400016</v>
      </c>
      <c r="E26" s="9">
        <v>-58.792967225199945</v>
      </c>
      <c r="F26" s="10">
        <v>-108.67210564928652</v>
      </c>
      <c r="G26" s="11">
        <v>-40.738367341900044</v>
      </c>
      <c r="H26" s="9">
        <v>-187.88138697868916</v>
      </c>
      <c r="I26" s="9">
        <v>-64.078308349500006</v>
      </c>
      <c r="J26" s="9">
        <v>-25.730831315110315</v>
      </c>
      <c r="K26" s="10">
        <v>-319</v>
      </c>
      <c r="L26" s="11">
        <v>-105</v>
      </c>
      <c r="M26" s="9">
        <v>-29.600440687400035</v>
      </c>
      <c r="N26" s="9">
        <v>-89.511883700012064</v>
      </c>
      <c r="O26" s="9">
        <v>-90.887675612587884</v>
      </c>
      <c r="P26" s="10">
        <v>-315</v>
      </c>
    </row>
    <row r="27" spans="1:16">
      <c r="A27" s="2" t="s">
        <v>66</v>
      </c>
      <c r="B27" s="9">
        <v>-43.207516379787187</v>
      </c>
      <c r="C27" s="9">
        <v>40.826617887720381</v>
      </c>
      <c r="D27" s="9">
        <v>-12.455033981637788</v>
      </c>
      <c r="E27" s="9">
        <v>-49.230771117833122</v>
      </c>
      <c r="F27" s="10">
        <v>-64.066703591537717</v>
      </c>
      <c r="G27" s="11">
        <v>-33.461320177205621</v>
      </c>
      <c r="H27" s="9">
        <v>286.29724219448957</v>
      </c>
      <c r="I27" s="9">
        <v>-137.31261744698006</v>
      </c>
      <c r="J27" s="9">
        <v>-20.488765235589312</v>
      </c>
      <c r="K27" s="10">
        <v>95.034539334714594</v>
      </c>
      <c r="L27" s="23">
        <v>56</v>
      </c>
      <c r="M27" s="12">
        <v>-94.429639541749879</v>
      </c>
      <c r="N27" s="12">
        <v>-40.945122184304992</v>
      </c>
      <c r="O27" s="9">
        <v>-14.625238273945129</v>
      </c>
      <c r="P27" s="10">
        <v>-94</v>
      </c>
    </row>
    <row r="28" spans="1:16">
      <c r="A28" s="2" t="s">
        <v>45</v>
      </c>
      <c r="B28" s="9">
        <v>-10.357517611318819</v>
      </c>
      <c r="C28" s="9">
        <v>105.90881360146528</v>
      </c>
      <c r="D28" s="9">
        <v>45.136167593565645</v>
      </c>
      <c r="E28" s="9">
        <v>-54.24595639532469</v>
      </c>
      <c r="F28" s="10">
        <v>86.441507188387391</v>
      </c>
      <c r="G28" s="11">
        <v>-24.981029801405079</v>
      </c>
      <c r="H28" s="9">
        <v>175.66769201203459</v>
      </c>
      <c r="I28" s="9">
        <v>-142.11877626874963</v>
      </c>
      <c r="J28" s="9">
        <v>15.412508973207071</v>
      </c>
      <c r="K28" s="10">
        <v>25</v>
      </c>
      <c r="L28" s="23">
        <v>31</v>
      </c>
      <c r="M28" s="12">
        <v>-64.236307993163152</v>
      </c>
      <c r="N28" s="12">
        <v>-27.893688068708684</v>
      </c>
      <c r="O28" s="9">
        <v>-21.870003938128164</v>
      </c>
      <c r="P28" s="10">
        <v>-83</v>
      </c>
    </row>
    <row r="29" spans="1:16" s="3" customFormat="1">
      <c r="A29" s="24"/>
      <c r="B29" s="25"/>
      <c r="C29" s="25"/>
      <c r="D29" s="25"/>
      <c r="E29" s="25"/>
      <c r="F29" s="26"/>
      <c r="G29" s="27"/>
      <c r="H29" s="25"/>
      <c r="I29" s="25"/>
      <c r="J29" s="25"/>
      <c r="K29" s="26"/>
      <c r="L29" s="28"/>
      <c r="M29" s="24"/>
      <c r="N29" s="24"/>
      <c r="O29" s="24"/>
      <c r="P29" s="26"/>
    </row>
    <row r="30" spans="1:16">
      <c r="A30" s="3" t="s">
        <v>67</v>
      </c>
      <c r="B30" s="12"/>
      <c r="C30" s="12"/>
      <c r="D30" s="12"/>
      <c r="E30" s="12"/>
      <c r="F30" s="29"/>
      <c r="G30" s="23"/>
      <c r="H30" s="12"/>
      <c r="I30" s="12"/>
      <c r="J30" s="12"/>
      <c r="K30" s="29"/>
      <c r="L30" s="30"/>
      <c r="P30" s="29"/>
    </row>
    <row r="31" spans="1:16" s="3" customFormat="1">
      <c r="A31" s="2" t="s">
        <v>68</v>
      </c>
      <c r="B31" s="31">
        <v>0.28299999999999997</v>
      </c>
      <c r="C31" s="31">
        <v>0.30199999999999999</v>
      </c>
      <c r="D31" s="31">
        <v>0.41699999999999998</v>
      </c>
      <c r="E31" s="31">
        <v>0.42399999999999999</v>
      </c>
      <c r="F31" s="32">
        <v>0.32300000000000001</v>
      </c>
      <c r="G31" s="33">
        <v>0.23827657197331498</v>
      </c>
      <c r="H31" s="31">
        <v>0.4032623185571419</v>
      </c>
      <c r="I31" s="31">
        <v>0.35394422083717136</v>
      </c>
      <c r="J31" s="31">
        <v>0.22713349526001955</v>
      </c>
      <c r="K31" s="32">
        <v>0.30105860381776084</v>
      </c>
      <c r="L31" s="33">
        <v>0.26598407438469529</v>
      </c>
      <c r="M31" s="31">
        <v>0.16053705049191125</v>
      </c>
      <c r="N31" s="31">
        <v>0.19525477444945474</v>
      </c>
      <c r="O31" s="34">
        <v>0.25909233001626886</v>
      </c>
      <c r="P31" s="32">
        <v>0.21914384587018274</v>
      </c>
    </row>
    <row r="32" spans="1:16">
      <c r="A32" s="2" t="s">
        <v>69</v>
      </c>
      <c r="B32" s="31">
        <v>3.5999999999999997E-2</v>
      </c>
      <c r="C32" s="31">
        <v>8.9999999999999993E-3</v>
      </c>
      <c r="D32" s="31">
        <v>3.6999999999999998E-2</v>
      </c>
      <c r="E32" s="31">
        <v>7.3999999999999996E-2</v>
      </c>
      <c r="F32" s="32">
        <v>4.5999999999999999E-2</v>
      </c>
      <c r="G32" s="33">
        <v>6.4835653444358668E-2</v>
      </c>
      <c r="H32" s="31">
        <v>9.0639055256328052E-2</v>
      </c>
      <c r="I32" s="31">
        <v>7.4405917700266083E-2</v>
      </c>
      <c r="J32" s="31">
        <v>2.4054764488741814E-2</v>
      </c>
      <c r="K32" s="32">
        <v>5.5037156588579231E-2</v>
      </c>
      <c r="L32" s="33">
        <v>4.449334769243049E-2</v>
      </c>
      <c r="M32" s="31">
        <v>7.4496222315460894E-2</v>
      </c>
      <c r="N32" s="31">
        <v>9.9573832126504336E-2</v>
      </c>
      <c r="O32" s="34">
        <v>0.16192545435113254</v>
      </c>
      <c r="P32" s="32">
        <v>9.9776290044730334E-2</v>
      </c>
    </row>
    <row r="33" spans="1:16">
      <c r="A33" s="2" t="s">
        <v>137</v>
      </c>
      <c r="B33" s="31">
        <v>0.22800000000000001</v>
      </c>
      <c r="C33" s="31">
        <v>0.27200000000000002</v>
      </c>
      <c r="D33" s="31">
        <v>0.36</v>
      </c>
      <c r="E33" s="31">
        <v>0.33200000000000002</v>
      </c>
      <c r="F33" s="32">
        <v>0.25700000000000001</v>
      </c>
      <c r="G33" s="33">
        <v>0.1793142442858584</v>
      </c>
      <c r="H33" s="31">
        <v>0.33933342946995726</v>
      </c>
      <c r="I33" s="31">
        <v>0.28699813384639672</v>
      </c>
      <c r="J33" s="31">
        <v>0.22567481889535876</v>
      </c>
      <c r="K33" s="32">
        <v>0.27842981102011061</v>
      </c>
      <c r="L33" s="33">
        <v>0.23611632708888761</v>
      </c>
      <c r="M33" s="31">
        <v>9.5258934364142109E-2</v>
      </c>
      <c r="N33" s="31">
        <v>0.11180441792648577</v>
      </c>
      <c r="O33" s="34">
        <v>9.6341257114045009E-2</v>
      </c>
      <c r="P33" s="32">
        <v>0.13026678904709832</v>
      </c>
    </row>
    <row r="34" spans="1:16">
      <c r="A34" s="2" t="s">
        <v>70</v>
      </c>
      <c r="B34" s="31">
        <v>0.104</v>
      </c>
      <c r="C34" s="31">
        <v>0.129</v>
      </c>
      <c r="D34" s="31">
        <v>0.157</v>
      </c>
      <c r="E34" s="31">
        <v>0.16600000000000001</v>
      </c>
      <c r="F34" s="32">
        <v>0.14399999999999999</v>
      </c>
      <c r="G34" s="33">
        <v>0.12262504354182978</v>
      </c>
      <c r="H34" s="31">
        <v>0.13118767722609184</v>
      </c>
      <c r="I34" s="31">
        <v>0.14880285960655507</v>
      </c>
      <c r="J34" s="31">
        <v>0.17952711091053417</v>
      </c>
      <c r="K34" s="32">
        <v>0.14641989777906497</v>
      </c>
      <c r="L34" s="33">
        <v>0.12771833919691961</v>
      </c>
      <c r="M34" s="31">
        <v>0.13719240830472407</v>
      </c>
      <c r="N34" s="31">
        <v>0.15265576807636613</v>
      </c>
      <c r="O34" s="34">
        <v>0.17039542312328709</v>
      </c>
      <c r="P34" s="32">
        <v>0.14781770932711319</v>
      </c>
    </row>
    <row r="35" spans="1:16">
      <c r="A35" s="2" t="s">
        <v>71</v>
      </c>
      <c r="B35" s="35">
        <v>0.64100000000000001</v>
      </c>
      <c r="C35" s="31">
        <v>0.25925925925925924</v>
      </c>
      <c r="D35" s="31">
        <v>0.125</v>
      </c>
      <c r="E35" s="31">
        <v>0.33333333333333331</v>
      </c>
      <c r="F35" s="32">
        <v>0.26100000000000001</v>
      </c>
      <c r="G35" s="33">
        <v>0.25</v>
      </c>
      <c r="H35" s="31">
        <v>0.21739130434782608</v>
      </c>
      <c r="I35" s="31">
        <v>0.2857142857142857</v>
      </c>
      <c r="J35" s="31">
        <v>0.203125</v>
      </c>
      <c r="K35" s="32">
        <v>0.23599999999999999</v>
      </c>
      <c r="L35" s="33">
        <v>0.22700000000000001</v>
      </c>
      <c r="M35" s="31">
        <v>0.219</v>
      </c>
      <c r="N35" s="31">
        <v>0.22600000000000001</v>
      </c>
      <c r="O35" s="34">
        <v>0.23084508819187297</v>
      </c>
      <c r="P35" s="32">
        <v>0.23</v>
      </c>
    </row>
    <row r="36" spans="1:16">
      <c r="A36" s="2" t="s">
        <v>74</v>
      </c>
      <c r="B36" s="31">
        <v>1.6359111847072144E-2</v>
      </c>
      <c r="C36" s="31">
        <v>7.4896622573032996E-3</v>
      </c>
      <c r="D36" s="31">
        <v>1.3393153930170347E-2</v>
      </c>
      <c r="E36" s="31">
        <v>8.5638145158490643E-3</v>
      </c>
      <c r="F36" s="32">
        <v>1.1284720242372892E-2</v>
      </c>
      <c r="G36" s="33">
        <v>1.1248428034476529E-2</v>
      </c>
      <c r="H36" s="31">
        <v>6.6880283184296953E-3</v>
      </c>
      <c r="I36" s="31">
        <v>8.3683669626568643E-3</v>
      </c>
      <c r="J36" s="31">
        <v>7.6518875620370918E-3</v>
      </c>
      <c r="K36" s="32">
        <v>8.4030895258917493E-3</v>
      </c>
      <c r="L36" s="33">
        <v>5.9214225308451447E-3</v>
      </c>
      <c r="M36" s="31">
        <v>4.8887912375039236E-3</v>
      </c>
      <c r="N36" s="31">
        <v>8.072712356757732E-3</v>
      </c>
      <c r="O36" s="31">
        <v>7.0000000000000001E-3</v>
      </c>
      <c r="P36" s="32">
        <v>7.0000000000000001E-3</v>
      </c>
    </row>
    <row r="37" spans="1:16">
      <c r="A37" s="2" t="s">
        <v>161</v>
      </c>
      <c r="B37" s="31">
        <v>1.2782807332207196E-2</v>
      </c>
      <c r="C37" s="31">
        <v>2.091869625213482E-2</v>
      </c>
      <c r="D37" s="31">
        <v>1.9891365288807764E-2</v>
      </c>
      <c r="E37" s="31">
        <v>1.1465325301886788E-2</v>
      </c>
      <c r="F37" s="32">
        <v>1.4999999999999999E-2</v>
      </c>
      <c r="G37" s="33">
        <v>7.2270287841155363E-3</v>
      </c>
      <c r="H37" s="31">
        <v>6.9927308145833434E-3</v>
      </c>
      <c r="I37" s="31">
        <v>7.6351338333931771E-3</v>
      </c>
      <c r="J37" s="31">
        <v>2.1630930505092561E-2</v>
      </c>
      <c r="K37" s="32">
        <v>1.1177864241376413E-2</v>
      </c>
      <c r="L37" s="33">
        <v>1.2999999999999999E-2</v>
      </c>
      <c r="M37" s="31">
        <v>2.0676038325528997E-2</v>
      </c>
      <c r="N37" s="31">
        <v>1.7341835574118503E-2</v>
      </c>
      <c r="O37" s="31">
        <v>0.02</v>
      </c>
      <c r="P37" s="32">
        <v>0.02</v>
      </c>
    </row>
    <row r="38" spans="1:16">
      <c r="A38" s="2" t="s">
        <v>72</v>
      </c>
      <c r="B38" s="31">
        <v>0.54700000000000004</v>
      </c>
      <c r="C38" s="31">
        <v>0.53700000000000003</v>
      </c>
      <c r="D38" s="31">
        <v>0.54500000000000004</v>
      </c>
      <c r="E38" s="31">
        <v>0.55300000000000005</v>
      </c>
      <c r="F38" s="32">
        <v>0.55300000000000005</v>
      </c>
      <c r="G38" s="33">
        <v>0.57399999999999995</v>
      </c>
      <c r="H38" s="31">
        <v>0.57099999999999995</v>
      </c>
      <c r="I38" s="31">
        <v>0.64100000000000001</v>
      </c>
      <c r="J38" s="31">
        <v>0.68100000000000005</v>
      </c>
      <c r="K38" s="32">
        <v>0.68200000000000005</v>
      </c>
      <c r="L38" s="33">
        <v>0.67900000000000005</v>
      </c>
      <c r="M38" s="31">
        <v>0.68200000000000005</v>
      </c>
      <c r="N38" s="31">
        <v>0.67900000000000005</v>
      </c>
      <c r="O38" s="36">
        <v>0.68200000000000005</v>
      </c>
      <c r="P38" s="32">
        <v>0.68200000000000005</v>
      </c>
    </row>
    <row r="39" spans="1:16" s="3" customFormat="1">
      <c r="A39" s="2" t="s">
        <v>73</v>
      </c>
      <c r="B39" s="31">
        <v>0.54908675799086759</v>
      </c>
      <c r="C39" s="31">
        <v>0.53484770263293757</v>
      </c>
      <c r="D39" s="31">
        <v>0.54131196795192793</v>
      </c>
      <c r="E39" s="31">
        <v>0.46110056925996207</v>
      </c>
      <c r="F39" s="32">
        <v>0.46110056925996207</v>
      </c>
      <c r="G39" s="33">
        <v>0.47435897435897434</v>
      </c>
      <c r="H39" s="31">
        <v>0.53863197540353602</v>
      </c>
      <c r="I39" s="31">
        <v>0.56084867894315449</v>
      </c>
      <c r="J39" s="31">
        <v>0.52911490683229812</v>
      </c>
      <c r="K39" s="32">
        <v>0.52911490683229812</v>
      </c>
      <c r="L39" s="33">
        <v>0.51208276401237707</v>
      </c>
      <c r="M39" s="31">
        <v>0.5304149169214285</v>
      </c>
      <c r="N39" s="31">
        <v>0.54069332341481535</v>
      </c>
      <c r="O39" s="34">
        <v>0.39700000000000002</v>
      </c>
      <c r="P39" s="32">
        <v>0.39700000000000002</v>
      </c>
    </row>
    <row r="40" spans="1:16" s="3" customFormat="1">
      <c r="A40" s="13"/>
      <c r="B40" s="25"/>
      <c r="C40" s="25"/>
      <c r="D40" s="25"/>
      <c r="E40" s="25"/>
      <c r="F40" s="26"/>
      <c r="G40" s="27"/>
      <c r="H40" s="25"/>
      <c r="I40" s="25"/>
      <c r="J40" s="25"/>
      <c r="K40" s="26"/>
      <c r="L40" s="27"/>
      <c r="M40" s="25"/>
      <c r="N40" s="25"/>
      <c r="O40" s="24"/>
      <c r="P40" s="26"/>
    </row>
    <row r="41" spans="1:16">
      <c r="A41" s="3" t="s">
        <v>75</v>
      </c>
      <c r="B41" s="12"/>
      <c r="C41" s="12"/>
      <c r="D41" s="12"/>
      <c r="E41" s="12"/>
      <c r="F41" s="37"/>
      <c r="G41" s="23"/>
      <c r="H41" s="12"/>
      <c r="I41" s="12"/>
      <c r="J41" s="12"/>
      <c r="K41" s="37"/>
      <c r="L41" s="23"/>
      <c r="M41" s="12"/>
      <c r="N41" s="12"/>
      <c r="P41" s="37"/>
    </row>
    <row r="42" spans="1:16" ht="14.25">
      <c r="A42" s="2" t="s">
        <v>76</v>
      </c>
      <c r="B42" s="38">
        <v>0.01</v>
      </c>
      <c r="C42" s="38">
        <v>0.02</v>
      </c>
      <c r="D42" s="38">
        <v>0.13</v>
      </c>
      <c r="E42" s="38">
        <v>0.01</v>
      </c>
      <c r="F42" s="39">
        <v>0.17</v>
      </c>
      <c r="G42" s="40">
        <v>0.03</v>
      </c>
      <c r="H42" s="38">
        <v>0.01</v>
      </c>
      <c r="I42" s="38">
        <v>0.03</v>
      </c>
      <c r="J42" s="38">
        <v>0.04</v>
      </c>
      <c r="K42" s="39">
        <v>0.12</v>
      </c>
      <c r="L42" s="40">
        <v>0.04</v>
      </c>
      <c r="M42" s="38">
        <v>4.8399949352850032E-2</v>
      </c>
      <c r="N42" s="38">
        <v>5.5595823563471154E-2</v>
      </c>
      <c r="O42" s="38">
        <v>0.09</v>
      </c>
      <c r="P42" s="39">
        <v>0.23</v>
      </c>
    </row>
    <row r="43" spans="1:16" ht="14.25">
      <c r="A43" s="2" t="s">
        <v>77</v>
      </c>
      <c r="B43" s="38">
        <v>0.01</v>
      </c>
      <c r="C43" s="38">
        <v>0.02</v>
      </c>
      <c r="D43" s="38">
        <v>0.13</v>
      </c>
      <c r="E43" s="38">
        <v>0.01</v>
      </c>
      <c r="F43" s="39">
        <v>0.18</v>
      </c>
      <c r="G43" s="40">
        <v>0.03</v>
      </c>
      <c r="H43" s="38">
        <v>0.01</v>
      </c>
      <c r="I43" s="38">
        <v>0.03</v>
      </c>
      <c r="J43" s="38">
        <v>0.04</v>
      </c>
      <c r="K43" s="39">
        <v>0.12</v>
      </c>
      <c r="L43" s="40">
        <v>0.04</v>
      </c>
      <c r="M43" s="38">
        <v>4.8558272050949404E-2</v>
      </c>
      <c r="N43" s="38">
        <v>5.5821295869433435E-2</v>
      </c>
      <c r="O43" s="38">
        <v>0.09</v>
      </c>
      <c r="P43" s="39">
        <v>0.23</v>
      </c>
    </row>
    <row r="44" spans="1:16" ht="14.25">
      <c r="A44" s="2" t="s">
        <v>78</v>
      </c>
      <c r="B44" s="38">
        <v>0.01</v>
      </c>
      <c r="C44" s="38">
        <v>0.02</v>
      </c>
      <c r="D44" s="38">
        <v>0.03</v>
      </c>
      <c r="E44" s="38">
        <v>0.01</v>
      </c>
      <c r="F44" s="39">
        <v>7.0000000000000007E-2</v>
      </c>
      <c r="G44" s="40">
        <v>3.2234395978338236E-2</v>
      </c>
      <c r="H44" s="38">
        <v>3.9280000000000002E-2</v>
      </c>
      <c r="I44" s="38">
        <v>0.03</v>
      </c>
      <c r="J44" s="38">
        <v>0.03</v>
      </c>
      <c r="K44" s="39">
        <v>0.13</v>
      </c>
      <c r="L44" s="40">
        <v>3.0696925471733826E-2</v>
      </c>
      <c r="M44" s="38">
        <v>6.0174669102875493E-2</v>
      </c>
      <c r="N44" s="38">
        <v>3.7934123519630068E-2</v>
      </c>
      <c r="O44" s="38">
        <v>0.08</v>
      </c>
      <c r="P44" s="39">
        <v>0.21</v>
      </c>
    </row>
    <row r="45" spans="1:16" ht="14.25">
      <c r="A45" s="2" t="s">
        <v>79</v>
      </c>
      <c r="B45" s="9">
        <v>378857</v>
      </c>
      <c r="C45" s="9">
        <v>385496</v>
      </c>
      <c r="D45" s="9">
        <v>386804</v>
      </c>
      <c r="E45" s="9">
        <v>388224</v>
      </c>
      <c r="F45" s="41">
        <v>388224</v>
      </c>
      <c r="G45" s="11">
        <v>392195</v>
      </c>
      <c r="H45" s="9">
        <v>442362</v>
      </c>
      <c r="I45" s="9">
        <v>443005</v>
      </c>
      <c r="J45" s="9">
        <v>445455</v>
      </c>
      <c r="K45" s="41">
        <v>445455</v>
      </c>
      <c r="L45" s="11">
        <v>448330</v>
      </c>
      <c r="M45" s="9">
        <v>448330</v>
      </c>
      <c r="N45" s="9">
        <v>452050.49399999995</v>
      </c>
      <c r="O45" s="9">
        <v>452050</v>
      </c>
      <c r="P45" s="41">
        <v>452050</v>
      </c>
    </row>
    <row r="46" spans="1:16" ht="14.25">
      <c r="A46" s="2" t="s">
        <v>80</v>
      </c>
      <c r="B46" s="9">
        <v>3468</v>
      </c>
      <c r="C46" s="9">
        <v>4113</v>
      </c>
      <c r="D46" s="9">
        <v>4563</v>
      </c>
      <c r="E46" s="9">
        <v>7971</v>
      </c>
      <c r="F46" s="41">
        <v>7971</v>
      </c>
      <c r="G46" s="11">
        <v>7899</v>
      </c>
      <c r="H46" s="9">
        <v>3903</v>
      </c>
      <c r="I46" s="9">
        <v>1863</v>
      </c>
      <c r="J46" s="9">
        <v>1179</v>
      </c>
      <c r="K46" s="41">
        <v>1179</v>
      </c>
      <c r="L46" s="11">
        <v>1137</v>
      </c>
      <c r="M46" s="9">
        <v>1787</v>
      </c>
      <c r="N46" s="9">
        <v>1849.9839999999999</v>
      </c>
      <c r="O46" s="9">
        <v>2293.576</v>
      </c>
      <c r="P46" s="41">
        <v>2737</v>
      </c>
    </row>
    <row r="47" spans="1:16">
      <c r="A47" s="13"/>
      <c r="B47" s="13"/>
      <c r="C47" s="13"/>
      <c r="D47" s="13"/>
      <c r="E47" s="13"/>
      <c r="F47" s="42"/>
      <c r="G47" s="43"/>
      <c r="H47" s="13"/>
      <c r="I47" s="13"/>
      <c r="J47" s="13"/>
      <c r="K47" s="42"/>
      <c r="L47" s="43"/>
      <c r="M47" s="13"/>
      <c r="N47" s="13"/>
      <c r="O47" s="13"/>
      <c r="P47" s="42"/>
    </row>
    <row r="48" spans="1:16" ht="14.25">
      <c r="A48" s="2" t="s">
        <v>81</v>
      </c>
      <c r="B48" s="9">
        <v>1261</v>
      </c>
      <c r="C48" s="9">
        <v>1351</v>
      </c>
      <c r="D48" s="9">
        <v>1383</v>
      </c>
      <c r="E48" s="9">
        <v>1515</v>
      </c>
      <c r="F48" s="41">
        <v>1515</v>
      </c>
      <c r="G48" s="11">
        <v>1567</v>
      </c>
      <c r="H48" s="9">
        <v>2077</v>
      </c>
      <c r="I48" s="9">
        <v>2185</v>
      </c>
      <c r="J48" s="9">
        <v>2221</v>
      </c>
      <c r="K48" s="41">
        <v>2221</v>
      </c>
      <c r="L48" s="11">
        <v>2236</v>
      </c>
      <c r="M48" s="9">
        <v>2201</v>
      </c>
      <c r="N48" s="9">
        <v>2240</v>
      </c>
      <c r="O48" s="9">
        <v>2371</v>
      </c>
      <c r="P48" s="41">
        <v>2371</v>
      </c>
    </row>
  </sheetData>
  <pageMargins left="0.7" right="0.7" top="0.75" bottom="0.75" header="0.3" footer="0.3"/>
  <pageSetup paperSize="9" scale="6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4CB74-4396-40B6-8CC7-8EE759C1AEFC}">
  <dimension ref="A1:R96"/>
  <sheetViews>
    <sheetView showGridLines="0" tabSelected="1" view="pageBreakPreview" zoomScaleNormal="100" zoomScaleSheetLayoutView="100" workbookViewId="0">
      <pane xSplit="1" topLeftCell="B1" activePane="topRight" state="frozen"/>
      <selection pane="topRight" activeCell="N21" sqref="N21"/>
    </sheetView>
  </sheetViews>
  <sheetFormatPr defaultRowHeight="15" outlineLevelCol="1"/>
  <cols>
    <col min="1" max="1" width="52.75" style="2" customWidth="1"/>
    <col min="2" max="2" width="9" style="2" customWidth="1" outlineLevel="1"/>
    <col min="3" max="3" width="9.875" style="2" customWidth="1" outlineLevel="1"/>
    <col min="4" max="5" width="9" style="2" customWidth="1" outlineLevel="1"/>
    <col min="6" max="6" width="9" style="3"/>
    <col min="7" max="10" width="9" style="2" customWidth="1" outlineLevel="1"/>
    <col min="11" max="11" width="9" style="3"/>
    <col min="12" max="16384" width="9" style="2"/>
  </cols>
  <sheetData>
    <row r="1" spans="1:18" ht="24" customHeight="1">
      <c r="A1" s="1" t="s">
        <v>131</v>
      </c>
    </row>
    <row r="2" spans="1:18" ht="24" customHeight="1">
      <c r="A2" s="1" t="s">
        <v>129</v>
      </c>
    </row>
    <row r="3" spans="1:18" s="8" customFormat="1" ht="20.25" customHeight="1">
      <c r="A3" s="4" t="s">
        <v>130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6" t="s">
        <v>14</v>
      </c>
      <c r="L3" s="5" t="s">
        <v>50</v>
      </c>
      <c r="M3" s="5" t="s">
        <v>138</v>
      </c>
      <c r="N3" s="5" t="s">
        <v>159</v>
      </c>
      <c r="O3" s="5" t="s">
        <v>163</v>
      </c>
      <c r="P3" s="6" t="s">
        <v>164</v>
      </c>
    </row>
    <row r="4" spans="1:18" ht="14.25">
      <c r="A4" s="2" t="s">
        <v>0</v>
      </c>
      <c r="B4" s="9">
        <f>444-6</f>
        <v>438</v>
      </c>
      <c r="C4" s="9">
        <f>445-13</f>
        <v>432</v>
      </c>
      <c r="D4" s="9">
        <f>411-11</f>
        <v>400</v>
      </c>
      <c r="E4" s="9">
        <f>+F4-B4-C4-D4</f>
        <v>512</v>
      </c>
      <c r="F4" s="41">
        <v>1782</v>
      </c>
      <c r="G4" s="9">
        <v>540.97105295030008</v>
      </c>
      <c r="H4" s="9">
        <v>606.81799949170022</v>
      </c>
      <c r="I4" s="9">
        <v>540.97670477530005</v>
      </c>
      <c r="J4" s="9">
        <v>629.11577144050011</v>
      </c>
      <c r="K4" s="41">
        <v>2317.8815286578001</v>
      </c>
      <c r="L4" s="9">
        <v>685</v>
      </c>
      <c r="M4" s="9">
        <v>704</v>
      </c>
      <c r="N4" s="9">
        <v>645</v>
      </c>
      <c r="O4" s="9">
        <v>792</v>
      </c>
      <c r="P4" s="41">
        <v>2826</v>
      </c>
    </row>
    <row r="5" spans="1:18" ht="14.25">
      <c r="A5" s="2" t="s">
        <v>16</v>
      </c>
      <c r="B5" s="9">
        <v>-106</v>
      </c>
      <c r="C5" s="9">
        <v>-78</v>
      </c>
      <c r="D5" s="9">
        <v>-76</v>
      </c>
      <c r="E5" s="9">
        <v>-87</v>
      </c>
      <c r="F5" s="41">
        <v>-347</v>
      </c>
      <c r="G5" s="9">
        <f t="shared" ref="G5:N5" si="0">-(+G4-G6)</f>
        <v>-116.97105295030008</v>
      </c>
      <c r="H5" s="9">
        <f t="shared" si="0"/>
        <v>-112.81799949170022</v>
      </c>
      <c r="I5" s="9">
        <f t="shared" si="0"/>
        <v>-97.97670477530005</v>
      </c>
      <c r="J5" s="9">
        <f t="shared" si="0"/>
        <v>-113.11577144050011</v>
      </c>
      <c r="K5" s="41">
        <f t="shared" si="0"/>
        <v>-440.88152865780012</v>
      </c>
      <c r="L5" s="9">
        <v>-123</v>
      </c>
      <c r="M5" s="9">
        <f t="shared" si="0"/>
        <v>-136.17332757470012</v>
      </c>
      <c r="N5" s="9">
        <f t="shared" si="0"/>
        <v>-125.60693325709963</v>
      </c>
      <c r="O5" s="9">
        <v>-143.77322126190029</v>
      </c>
      <c r="P5" s="41">
        <v>-528.55348209370004</v>
      </c>
    </row>
    <row r="6" spans="1:18">
      <c r="A6" s="44" t="s">
        <v>15</v>
      </c>
      <c r="B6" s="45">
        <v>332</v>
      </c>
      <c r="C6" s="45">
        <v>354</v>
      </c>
      <c r="D6" s="45">
        <v>324</v>
      </c>
      <c r="E6" s="45">
        <f>+F6-B6-C6-D6</f>
        <v>425</v>
      </c>
      <c r="F6" s="46">
        <v>1435</v>
      </c>
      <c r="G6" s="45">
        <v>424</v>
      </c>
      <c r="H6" s="45">
        <v>494</v>
      </c>
      <c r="I6" s="45">
        <v>443</v>
      </c>
      <c r="J6" s="45">
        <v>516</v>
      </c>
      <c r="K6" s="46">
        <v>1877</v>
      </c>
      <c r="L6" s="45">
        <v>561</v>
      </c>
      <c r="M6" s="45">
        <v>567.82667242529988</v>
      </c>
      <c r="N6" s="45">
        <v>519.39306674290037</v>
      </c>
      <c r="O6" s="45">
        <v>649.05778460379952</v>
      </c>
      <c r="P6" s="46">
        <v>2297.2775237719998</v>
      </c>
      <c r="Q6" s="3"/>
      <c r="R6" s="47"/>
    </row>
    <row r="7" spans="1:18" ht="10.5" customHeight="1">
      <c r="B7" s="9"/>
      <c r="C7" s="9"/>
      <c r="D7" s="9"/>
      <c r="E7" s="9"/>
      <c r="F7" s="10"/>
      <c r="G7" s="9"/>
      <c r="H7" s="9"/>
      <c r="I7" s="9"/>
      <c r="J7" s="9"/>
      <c r="K7" s="10"/>
      <c r="L7" s="9"/>
      <c r="M7" s="9"/>
      <c r="N7" s="9"/>
      <c r="O7" s="9"/>
      <c r="P7" s="10"/>
      <c r="Q7" s="3"/>
      <c r="R7" s="47"/>
    </row>
    <row r="8" spans="1:18">
      <c r="A8" s="2" t="s">
        <v>17</v>
      </c>
      <c r="B8" s="9">
        <v>-269</v>
      </c>
      <c r="C8" s="9">
        <v>-265</v>
      </c>
      <c r="D8" s="9">
        <v>-230</v>
      </c>
      <c r="E8" s="9">
        <v>-276</v>
      </c>
      <c r="F8" s="41">
        <v>-1040</v>
      </c>
      <c r="G8" s="9">
        <v>-326</v>
      </c>
      <c r="H8" s="9">
        <v>-370</v>
      </c>
      <c r="I8" s="9">
        <v>-319</v>
      </c>
      <c r="J8" s="9">
        <v>-369</v>
      </c>
      <c r="K8" s="41">
        <v>-1384</v>
      </c>
      <c r="L8" s="9">
        <v>-421</v>
      </c>
      <c r="M8" s="9">
        <v>-424.79767906470011</v>
      </c>
      <c r="N8" s="9">
        <v>-375.83869841549989</v>
      </c>
      <c r="O8" s="9">
        <v>-455.1419276970999</v>
      </c>
      <c r="P8" s="41">
        <v>-1676.7783051772999</v>
      </c>
      <c r="Q8" s="3"/>
      <c r="R8" s="47"/>
    </row>
    <row r="9" spans="1:18" ht="14.25">
      <c r="A9" s="2" t="s">
        <v>18</v>
      </c>
      <c r="B9" s="9">
        <v>-18</v>
      </c>
      <c r="C9" s="9">
        <v>-31</v>
      </c>
      <c r="D9" s="9">
        <v>-29</v>
      </c>
      <c r="E9" s="9">
        <v>-61</v>
      </c>
      <c r="F9" s="41">
        <v>-139</v>
      </c>
      <c r="G9" s="9">
        <v>-31</v>
      </c>
      <c r="H9" s="9">
        <v>-45</v>
      </c>
      <c r="I9" s="9">
        <v>-43</v>
      </c>
      <c r="J9" s="9">
        <v>-34</v>
      </c>
      <c r="K9" s="41">
        <v>-154</v>
      </c>
      <c r="L9" s="9">
        <v>-53</v>
      </c>
      <c r="M9" s="9">
        <v>-46.460496379700004</v>
      </c>
      <c r="N9" s="9">
        <v>-44.892240410900008</v>
      </c>
      <c r="O9" s="9">
        <v>-58.438615571500087</v>
      </c>
      <c r="P9" s="41">
        <v>-202.7913523621001</v>
      </c>
    </row>
    <row r="10" spans="1:18">
      <c r="A10" s="44" t="s">
        <v>172</v>
      </c>
      <c r="B10" s="45">
        <v>46</v>
      </c>
      <c r="C10" s="45">
        <v>57</v>
      </c>
      <c r="D10" s="45">
        <v>64</v>
      </c>
      <c r="E10" s="45">
        <v>88</v>
      </c>
      <c r="F10" s="46">
        <v>256</v>
      </c>
      <c r="G10" s="45">
        <v>66</v>
      </c>
      <c r="H10" s="45">
        <v>80</v>
      </c>
      <c r="I10" s="45">
        <v>80</v>
      </c>
      <c r="J10" s="45">
        <v>113</v>
      </c>
      <c r="K10" s="46">
        <v>339</v>
      </c>
      <c r="L10" s="45">
        <v>87</v>
      </c>
      <c r="M10" s="45">
        <v>96.56849698089988</v>
      </c>
      <c r="N10" s="45">
        <v>98.662127916500324</v>
      </c>
      <c r="O10" s="45">
        <v>134.97130458749996</v>
      </c>
      <c r="P10" s="46">
        <v>417.70786623259932</v>
      </c>
      <c r="Q10" s="3"/>
      <c r="R10" s="47"/>
    </row>
    <row r="11" spans="1:18">
      <c r="A11" s="3"/>
      <c r="B11" s="48"/>
      <c r="C11" s="48"/>
      <c r="D11" s="48"/>
      <c r="E11" s="48"/>
      <c r="F11" s="10"/>
      <c r="G11" s="48"/>
      <c r="H11" s="48"/>
      <c r="I11" s="48"/>
      <c r="J11" s="48"/>
      <c r="K11" s="10"/>
      <c r="L11" s="48"/>
      <c r="M11" s="48"/>
      <c r="N11" s="48"/>
      <c r="O11" s="48"/>
      <c r="P11" s="10"/>
      <c r="Q11" s="3"/>
      <c r="R11" s="47"/>
    </row>
    <row r="12" spans="1:18">
      <c r="A12" s="2" t="s">
        <v>166</v>
      </c>
      <c r="B12" s="9">
        <v>0</v>
      </c>
      <c r="C12" s="9">
        <v>0</v>
      </c>
      <c r="D12" s="9">
        <v>0</v>
      </c>
      <c r="E12" s="9">
        <v>-1</v>
      </c>
      <c r="F12" s="41">
        <v>-1</v>
      </c>
      <c r="G12" s="9">
        <v>0</v>
      </c>
      <c r="H12" s="9">
        <v>-8</v>
      </c>
      <c r="I12" s="9">
        <v>0</v>
      </c>
      <c r="J12" s="9">
        <v>-1</v>
      </c>
      <c r="K12" s="41">
        <v>-9</v>
      </c>
      <c r="L12" s="9">
        <v>-4</v>
      </c>
      <c r="M12" s="9">
        <v>-5.1910186200000004</v>
      </c>
      <c r="N12" s="9">
        <v>-2.4104149500000016</v>
      </c>
      <c r="O12" s="9">
        <v>-1.5307551119999987</v>
      </c>
      <c r="P12" s="41">
        <v>-13.132188682000001</v>
      </c>
      <c r="Q12" s="3"/>
      <c r="R12" s="47"/>
    </row>
    <row r="13" spans="1:18">
      <c r="A13" s="44" t="s">
        <v>167</v>
      </c>
      <c r="B13" s="45">
        <v>46</v>
      </c>
      <c r="C13" s="45">
        <v>57</v>
      </c>
      <c r="D13" s="45">
        <v>64</v>
      </c>
      <c r="E13" s="45">
        <v>87</v>
      </c>
      <c r="F13" s="46">
        <v>255</v>
      </c>
      <c r="G13" s="45">
        <f t="shared" ref="G13:P13" si="1">+G10+G12</f>
        <v>66</v>
      </c>
      <c r="H13" s="45">
        <f t="shared" si="1"/>
        <v>72</v>
      </c>
      <c r="I13" s="45">
        <f t="shared" si="1"/>
        <v>80</v>
      </c>
      <c r="J13" s="45">
        <f t="shared" si="1"/>
        <v>112</v>
      </c>
      <c r="K13" s="46">
        <f t="shared" si="1"/>
        <v>330</v>
      </c>
      <c r="L13" s="45">
        <f t="shared" si="1"/>
        <v>83</v>
      </c>
      <c r="M13" s="45">
        <f t="shared" si="1"/>
        <v>91.377478360899886</v>
      </c>
      <c r="N13" s="45">
        <f t="shared" si="1"/>
        <v>96.251712966500321</v>
      </c>
      <c r="O13" s="45">
        <v>133.44054947549995</v>
      </c>
      <c r="P13" s="46">
        <f t="shared" si="1"/>
        <v>404.57567755059932</v>
      </c>
      <c r="Q13" s="3"/>
      <c r="R13" s="47"/>
    </row>
    <row r="14" spans="1:18" ht="10.5" customHeight="1">
      <c r="B14" s="9"/>
      <c r="C14" s="9"/>
      <c r="D14" s="9"/>
      <c r="E14" s="9"/>
      <c r="F14" s="10"/>
      <c r="G14" s="9"/>
      <c r="H14" s="9"/>
      <c r="I14" s="9"/>
      <c r="J14" s="9"/>
      <c r="K14" s="10"/>
      <c r="L14" s="9"/>
      <c r="M14" s="9"/>
      <c r="N14" s="9"/>
      <c r="O14" s="9"/>
      <c r="P14" s="10"/>
    </row>
    <row r="15" spans="1:18">
      <c r="A15" s="2" t="s">
        <v>158</v>
      </c>
      <c r="B15" s="9">
        <v>-9.5266975480000013</v>
      </c>
      <c r="C15" s="9">
        <v>-10.813189706000001</v>
      </c>
      <c r="D15" s="9">
        <v>-11.5134320674</v>
      </c>
      <c r="E15" s="9">
        <v>-18.0046119973</v>
      </c>
      <c r="F15" s="41">
        <v>-50</v>
      </c>
      <c r="G15" s="9">
        <v>-13.531095888199999</v>
      </c>
      <c r="H15" s="9">
        <v>-14.332547548500001</v>
      </c>
      <c r="I15" s="9">
        <v>-16.219066217499996</v>
      </c>
      <c r="J15" s="9">
        <v>-19.071578789199997</v>
      </c>
      <c r="K15" s="41">
        <v>-63</v>
      </c>
      <c r="L15" s="9">
        <v>-19.070494657099999</v>
      </c>
      <c r="M15" s="9">
        <v>-21.0804464705</v>
      </c>
      <c r="N15" s="49">
        <v>-16.111526214400001</v>
      </c>
      <c r="O15" s="9">
        <v>-20.365609942100001</v>
      </c>
      <c r="P15" s="41">
        <v>-76.628077284100002</v>
      </c>
      <c r="Q15" s="3"/>
      <c r="R15" s="47"/>
    </row>
    <row r="16" spans="1:18">
      <c r="A16" s="2" t="s">
        <v>154</v>
      </c>
      <c r="B16" s="9">
        <v>-14.119</v>
      </c>
      <c r="C16" s="9">
        <v>-14.831</v>
      </c>
      <c r="D16" s="9">
        <v>-16.187000000000001</v>
      </c>
      <c r="E16" s="9">
        <v>-18.187999999999999</v>
      </c>
      <c r="F16" s="41">
        <v>-63</v>
      </c>
      <c r="G16" s="9">
        <v>-15.529042351899999</v>
      </c>
      <c r="H16" s="9">
        <v>-20.3130139696</v>
      </c>
      <c r="I16" s="9">
        <v>-20.691308524099998</v>
      </c>
      <c r="J16" s="9">
        <v>-21.816648111600003</v>
      </c>
      <c r="K16" s="41">
        <v>-78</v>
      </c>
      <c r="L16" s="9">
        <v>-19.875315196300001</v>
      </c>
      <c r="M16" s="9">
        <v>-19.910212729499996</v>
      </c>
      <c r="N16" s="49">
        <v>-21.903042769999999</v>
      </c>
      <c r="O16" s="9">
        <v>-26.311429304200011</v>
      </c>
      <c r="P16" s="41">
        <v>-88</v>
      </c>
      <c r="Q16" s="3"/>
      <c r="R16" s="47"/>
    </row>
    <row r="17" spans="1:18">
      <c r="A17" s="2" t="s">
        <v>155</v>
      </c>
      <c r="B17" s="9">
        <v>-5.2751683076999996</v>
      </c>
      <c r="C17" s="9">
        <v>-5.3042858749000006</v>
      </c>
      <c r="D17" s="9">
        <v>-5.4255459150000007</v>
      </c>
      <c r="E17" s="9">
        <v>-6.9873851225000001</v>
      </c>
      <c r="F17" s="41">
        <v>-22</v>
      </c>
      <c r="G17" s="9">
        <v>-5.3055606728999996</v>
      </c>
      <c r="H17" s="9">
        <v>-6.1011667263000007</v>
      </c>
      <c r="I17" s="9">
        <v>-6.0685240598999997</v>
      </c>
      <c r="J17" s="9">
        <v>-7.0219869127999974</v>
      </c>
      <c r="K17" s="41">
        <v>-24</v>
      </c>
      <c r="L17" s="9">
        <v>-5.4615727125999998</v>
      </c>
      <c r="M17" s="9">
        <v>-5.6835456037999998</v>
      </c>
      <c r="N17" s="49">
        <v>-5.9126110207000018</v>
      </c>
      <c r="O17" s="9">
        <v>-6</v>
      </c>
      <c r="P17" s="41">
        <v>-24</v>
      </c>
      <c r="Q17" s="3"/>
      <c r="R17" s="47"/>
    </row>
    <row r="18" spans="1:18">
      <c r="A18" s="44" t="s">
        <v>173</v>
      </c>
      <c r="B18" s="45">
        <v>19</v>
      </c>
      <c r="C18" s="45">
        <v>27</v>
      </c>
      <c r="D18" s="45">
        <v>31</v>
      </c>
      <c r="E18" s="45">
        <v>43</v>
      </c>
      <c r="F18" s="46">
        <v>120</v>
      </c>
      <c r="G18" s="45">
        <v>32</v>
      </c>
      <c r="H18" s="45">
        <v>30</v>
      </c>
      <c r="I18" s="45">
        <v>36</v>
      </c>
      <c r="J18" s="45">
        <v>66</v>
      </c>
      <c r="K18" s="46">
        <v>164</v>
      </c>
      <c r="L18" s="45">
        <v>38</v>
      </c>
      <c r="M18" s="45">
        <v>44</v>
      </c>
      <c r="N18" s="45">
        <v>53</v>
      </c>
      <c r="O18" s="45">
        <v>82</v>
      </c>
      <c r="P18" s="46">
        <v>217</v>
      </c>
    </row>
    <row r="19" spans="1:18" ht="10.5" customHeight="1">
      <c r="B19" s="9"/>
      <c r="C19" s="9"/>
      <c r="D19" s="9"/>
      <c r="E19" s="9"/>
      <c r="F19" s="10"/>
      <c r="G19" s="9"/>
      <c r="H19" s="9"/>
      <c r="I19" s="9"/>
      <c r="J19" s="9"/>
      <c r="K19" s="10"/>
      <c r="L19" s="9"/>
      <c r="M19" s="9"/>
      <c r="N19" s="9"/>
      <c r="O19" s="9"/>
      <c r="P19" s="10"/>
    </row>
    <row r="20" spans="1:18" ht="14.25">
      <c r="A20" s="2" t="s">
        <v>152</v>
      </c>
      <c r="B20" s="9">
        <v>4</v>
      </c>
      <c r="C20" s="9">
        <v>4</v>
      </c>
      <c r="D20" s="9">
        <v>43</v>
      </c>
      <c r="E20" s="9">
        <v>17</v>
      </c>
      <c r="F20" s="41">
        <v>68</v>
      </c>
      <c r="G20" s="9">
        <v>3</v>
      </c>
      <c r="H20" s="9">
        <v>5</v>
      </c>
      <c r="I20" s="9">
        <v>6</v>
      </c>
      <c r="J20" s="9">
        <v>13</v>
      </c>
      <c r="K20" s="41">
        <v>27</v>
      </c>
      <c r="L20" s="9">
        <v>12</v>
      </c>
      <c r="M20" s="9">
        <v>6</v>
      </c>
      <c r="N20" s="9">
        <v>19.1788173439</v>
      </c>
      <c r="O20" s="9">
        <v>12.830103465400004</v>
      </c>
      <c r="P20" s="41">
        <v>49</v>
      </c>
    </row>
    <row r="21" spans="1:18" ht="14.25">
      <c r="A21" s="2" t="s">
        <v>153</v>
      </c>
      <c r="B21" s="9">
        <v>-6</v>
      </c>
      <c r="C21" s="9">
        <v>-4</v>
      </c>
      <c r="D21" s="9">
        <v>-2</v>
      </c>
      <c r="E21" s="9">
        <v>-13</v>
      </c>
      <c r="F21" s="41">
        <v>-25</v>
      </c>
      <c r="G21" s="9">
        <v>-6</v>
      </c>
      <c r="H21" s="9">
        <v>-13</v>
      </c>
      <c r="I21" s="9">
        <v>-7</v>
      </c>
      <c r="J21" s="9">
        <v>-15</v>
      </c>
      <c r="K21" s="41">
        <v>-41</v>
      </c>
      <c r="L21" s="9">
        <v>-10</v>
      </c>
      <c r="M21" s="9">
        <v>-7</v>
      </c>
      <c r="N21" s="9">
        <v>-13.362676442800005</v>
      </c>
      <c r="O21" s="9">
        <v>-7.8941771970000021</v>
      </c>
      <c r="P21" s="41">
        <v>-38.200664708200001</v>
      </c>
    </row>
    <row r="22" spans="1:18">
      <c r="A22" s="44" t="s">
        <v>21</v>
      </c>
      <c r="B22" s="45">
        <v>17</v>
      </c>
      <c r="C22" s="45">
        <v>27</v>
      </c>
      <c r="D22" s="45">
        <v>72</v>
      </c>
      <c r="E22" s="45">
        <v>48</v>
      </c>
      <c r="F22" s="46">
        <v>164</v>
      </c>
      <c r="G22" s="45">
        <v>28</v>
      </c>
      <c r="H22" s="45">
        <v>23</v>
      </c>
      <c r="I22" s="45">
        <v>35</v>
      </c>
      <c r="J22" s="45">
        <v>64</v>
      </c>
      <c r="K22" s="46">
        <v>150</v>
      </c>
      <c r="L22" s="45">
        <v>41</v>
      </c>
      <c r="M22" s="45">
        <v>42.302516450399878</v>
      </c>
      <c r="N22" s="45">
        <v>58.140673862500329</v>
      </c>
      <c r="O22" s="45">
        <v>86.691296262999927</v>
      </c>
      <c r="P22" s="46">
        <v>228.53792112220049</v>
      </c>
    </row>
    <row r="23" spans="1:18" ht="10.5" customHeight="1">
      <c r="B23" s="9"/>
      <c r="C23" s="9"/>
      <c r="D23" s="9"/>
      <c r="E23" s="9"/>
      <c r="F23" s="10"/>
      <c r="G23" s="9"/>
      <c r="H23" s="9"/>
      <c r="I23" s="9"/>
      <c r="J23" s="9"/>
      <c r="K23" s="10"/>
      <c r="L23" s="9"/>
      <c r="M23" s="9"/>
      <c r="N23" s="9"/>
      <c r="O23" s="9"/>
      <c r="P23" s="10"/>
    </row>
    <row r="24" spans="1:18" ht="14.25">
      <c r="A24" s="2" t="s">
        <v>22</v>
      </c>
      <c r="B24" s="9">
        <v>-11</v>
      </c>
      <c r="C24" s="9">
        <v>-7</v>
      </c>
      <c r="D24" s="9">
        <v>-9</v>
      </c>
      <c r="E24" s="9">
        <v>-16</v>
      </c>
      <c r="F24" s="41">
        <v>-43</v>
      </c>
      <c r="G24" s="9">
        <v>-7</v>
      </c>
      <c r="H24" s="9">
        <v>-5</v>
      </c>
      <c r="I24" s="9">
        <v>-10</v>
      </c>
      <c r="J24" s="9">
        <v>-13</v>
      </c>
      <c r="K24" s="41">
        <v>-35</v>
      </c>
      <c r="L24" s="9">
        <v>-9</v>
      </c>
      <c r="M24" s="9">
        <v>-9.2528720849999999</v>
      </c>
      <c r="N24" s="9">
        <v>-13.138984154800005</v>
      </c>
      <c r="O24" s="9">
        <v>-20.012259931300004</v>
      </c>
      <c r="P24" s="41">
        <v>-51.792496973000013</v>
      </c>
    </row>
    <row r="25" spans="1:18">
      <c r="A25" s="44" t="s">
        <v>23</v>
      </c>
      <c r="B25" s="45">
        <v>5</v>
      </c>
      <c r="C25" s="45">
        <v>20</v>
      </c>
      <c r="D25" s="45">
        <v>63</v>
      </c>
      <c r="E25" s="45">
        <v>33</v>
      </c>
      <c r="F25" s="46">
        <v>121</v>
      </c>
      <c r="G25" s="45">
        <v>22</v>
      </c>
      <c r="H25" s="45">
        <v>17</v>
      </c>
      <c r="I25" s="45">
        <v>25</v>
      </c>
      <c r="J25" s="45">
        <v>51</v>
      </c>
      <c r="K25" s="46">
        <v>115</v>
      </c>
      <c r="L25" s="45">
        <v>32</v>
      </c>
      <c r="M25" s="45">
        <v>33.049644365399878</v>
      </c>
      <c r="N25" s="45">
        <v>45.001689707700322</v>
      </c>
      <c r="O25" s="45">
        <v>66.679036331699919</v>
      </c>
      <c r="P25" s="46">
        <v>176.74542414920046</v>
      </c>
    </row>
    <row r="26" spans="1:18">
      <c r="B26" s="9"/>
      <c r="C26" s="9"/>
      <c r="D26" s="9"/>
      <c r="E26" s="9"/>
      <c r="F26" s="10"/>
      <c r="G26" s="9"/>
      <c r="H26" s="9"/>
      <c r="I26" s="9"/>
      <c r="J26" s="9"/>
      <c r="K26" s="10"/>
      <c r="L26" s="9"/>
      <c r="M26" s="9"/>
      <c r="N26" s="9"/>
      <c r="O26" s="9"/>
      <c r="P26" s="10"/>
    </row>
    <row r="27" spans="1:18" ht="14.25">
      <c r="A27" s="2" t="s">
        <v>1</v>
      </c>
      <c r="B27" s="31">
        <v>0.28299999999999997</v>
      </c>
      <c r="C27" s="31">
        <v>0.30199999999999999</v>
      </c>
      <c r="D27" s="31">
        <v>0.41699999999999998</v>
      </c>
      <c r="E27" s="31">
        <v>0.42399999999999999</v>
      </c>
      <c r="F27" s="50">
        <v>0.32300000000000001</v>
      </c>
      <c r="G27" s="31">
        <v>0.23827657197331498</v>
      </c>
      <c r="H27" s="31">
        <v>0.4032623185571419</v>
      </c>
      <c r="I27" s="31">
        <v>0.35394422083717136</v>
      </c>
      <c r="J27" s="31">
        <v>0.22713349526001955</v>
      </c>
      <c r="K27" s="50">
        <v>0.30105860381776084</v>
      </c>
      <c r="L27" s="31">
        <v>0.26598407438469529</v>
      </c>
      <c r="M27" s="31">
        <v>0.16053705049191125</v>
      </c>
      <c r="N27" s="31">
        <v>0.19525477444945474</v>
      </c>
      <c r="O27" s="31">
        <v>0.25909233001626886</v>
      </c>
      <c r="P27" s="50">
        <v>0.21914384587018274</v>
      </c>
    </row>
    <row r="28" spans="1:18" ht="14.25">
      <c r="A28" s="2" t="s">
        <v>3</v>
      </c>
      <c r="B28" s="31">
        <v>3.5999999999999997E-2</v>
      </c>
      <c r="C28" s="31">
        <v>8.9999999999999993E-3</v>
      </c>
      <c r="D28" s="31">
        <v>3.6999999999999998E-2</v>
      </c>
      <c r="E28" s="31">
        <v>7.3999999999999996E-2</v>
      </c>
      <c r="F28" s="50">
        <v>4.5999999999999999E-2</v>
      </c>
      <c r="G28" s="31">
        <v>6.4835653444358668E-2</v>
      </c>
      <c r="H28" s="31">
        <v>9.0639055256328052E-2</v>
      </c>
      <c r="I28" s="31">
        <v>7.4405917700266083E-2</v>
      </c>
      <c r="J28" s="31">
        <v>2.4054764488741814E-2</v>
      </c>
      <c r="K28" s="50">
        <v>5.5037156588579231E-2</v>
      </c>
      <c r="L28" s="31">
        <v>4.449334769243049E-2</v>
      </c>
      <c r="M28" s="31">
        <v>7.4496222315460894E-2</v>
      </c>
      <c r="N28" s="31">
        <v>9.9573832126504336E-2</v>
      </c>
      <c r="O28" s="31">
        <v>0.16192545435113254</v>
      </c>
      <c r="P28" s="50">
        <v>9.9776290044730334E-2</v>
      </c>
    </row>
    <row r="29" spans="1:18" ht="14.25">
      <c r="A29" s="2" t="s">
        <v>2</v>
      </c>
      <c r="B29" s="31">
        <v>0.22800000000000001</v>
      </c>
      <c r="C29" s="31">
        <v>0.27200000000000002</v>
      </c>
      <c r="D29" s="31">
        <v>0.36</v>
      </c>
      <c r="E29" s="31">
        <v>0.33200000000000002</v>
      </c>
      <c r="F29" s="50">
        <v>0.25700000000000001</v>
      </c>
      <c r="G29" s="31">
        <v>0.1793142442858584</v>
      </c>
      <c r="H29" s="31">
        <v>0.33933342946995726</v>
      </c>
      <c r="I29" s="31">
        <v>0.28699813384639672</v>
      </c>
      <c r="J29" s="31">
        <v>0.22567481889535876</v>
      </c>
      <c r="K29" s="50">
        <v>0.27842981102011061</v>
      </c>
      <c r="L29" s="31">
        <v>0.23611632708888761</v>
      </c>
      <c r="M29" s="31">
        <v>9.5258934364142109E-2</v>
      </c>
      <c r="N29" s="31">
        <v>0.11180441792648577</v>
      </c>
      <c r="O29" s="31">
        <v>9.6341257114045009E-2</v>
      </c>
      <c r="P29" s="50">
        <v>0.13026678904709832</v>
      </c>
    </row>
    <row r="30" spans="1:18" ht="14.25">
      <c r="A30" s="2" t="s">
        <v>4</v>
      </c>
      <c r="B30" s="31">
        <v>1.7999999999999999E-2</v>
      </c>
      <c r="C30" s="31">
        <v>2.3E-2</v>
      </c>
      <c r="D30" s="31">
        <v>0.02</v>
      </c>
      <c r="E30" s="31">
        <v>1.7999999999999999E-2</v>
      </c>
      <c r="F30" s="50">
        <v>0.02</v>
      </c>
      <c r="G30" s="31">
        <f t="shared" ref="G30:P30" si="2">+G27-G28-G29</f>
        <v>-5.8733257569020814E-3</v>
      </c>
      <c r="H30" s="31">
        <f t="shared" si="2"/>
        <v>-2.6710166169143401E-2</v>
      </c>
      <c r="I30" s="31">
        <f t="shared" si="2"/>
        <v>-7.4598307094914107E-3</v>
      </c>
      <c r="J30" s="31">
        <f t="shared" si="2"/>
        <v>-2.259608812408101E-2</v>
      </c>
      <c r="K30" s="50">
        <f t="shared" si="2"/>
        <v>-3.2408363790928985E-2</v>
      </c>
      <c r="L30" s="31">
        <f t="shared" si="2"/>
        <v>-1.4625600396622807E-2</v>
      </c>
      <c r="M30" s="31">
        <f t="shared" si="2"/>
        <v>-9.2181061876917547E-3</v>
      </c>
      <c r="N30" s="31">
        <f t="shared" si="2"/>
        <v>-1.6123475603535359E-2</v>
      </c>
      <c r="O30" s="31">
        <v>8.2561855109131166E-4</v>
      </c>
      <c r="P30" s="50">
        <f t="shared" si="2"/>
        <v>-1.0899233221645918E-2</v>
      </c>
    </row>
    <row r="31" spans="1:18" ht="14.25">
      <c r="A31" s="2" t="s">
        <v>171</v>
      </c>
      <c r="B31" s="31">
        <v>0.1050228310502283</v>
      </c>
      <c r="C31" s="31">
        <v>0.13194444444444445</v>
      </c>
      <c r="D31" s="31">
        <v>0.16</v>
      </c>
      <c r="E31" s="31">
        <v>0.171875</v>
      </c>
      <c r="F31" s="50">
        <v>0.14399999999999999</v>
      </c>
      <c r="G31" s="31">
        <v>0.12262504354182971</v>
      </c>
      <c r="H31" s="31">
        <v>0.13118767722609195</v>
      </c>
      <c r="I31" s="31">
        <v>0.14877394716326914</v>
      </c>
      <c r="J31" s="31">
        <v>0.17952710312569506</v>
      </c>
      <c r="K31" s="50">
        <v>0.14641396044167826</v>
      </c>
      <c r="L31" s="31">
        <v>0.12771480056086332</v>
      </c>
      <c r="M31" s="31">
        <v>0.1371696293106251</v>
      </c>
      <c r="N31" s="31">
        <v>0.15306690326501968</v>
      </c>
      <c r="O31" s="31">
        <v>0.17039360520508404</v>
      </c>
      <c r="P31" s="50">
        <v>0.14781770932711322</v>
      </c>
    </row>
    <row r="32" spans="1:18" ht="14.25">
      <c r="A32" s="51" t="s">
        <v>170</v>
      </c>
      <c r="B32" s="31">
        <v>0.1050228310502283</v>
      </c>
      <c r="C32" s="31">
        <v>0.13194444444444445</v>
      </c>
      <c r="D32" s="31">
        <v>0.16</v>
      </c>
      <c r="E32" s="31">
        <v>0.169921875</v>
      </c>
      <c r="F32" s="50">
        <v>0.14309764309764308</v>
      </c>
      <c r="G32" s="31">
        <v>0.12200283109429801</v>
      </c>
      <c r="H32" s="31">
        <v>0.11865172104372422</v>
      </c>
      <c r="I32" s="31">
        <v>0.14788067451671283</v>
      </c>
      <c r="J32" s="31">
        <v>0.17802764623679859</v>
      </c>
      <c r="K32" s="50">
        <v>0.14237138348960002</v>
      </c>
      <c r="L32" s="31">
        <v>0.12116788321167883</v>
      </c>
      <c r="M32" s="31">
        <v>0.12979755448991462</v>
      </c>
      <c r="N32" s="31">
        <v>0.1492274619635664</v>
      </c>
      <c r="O32" s="31">
        <v>0.16798826827714641</v>
      </c>
      <c r="P32" s="50">
        <v>0.14316195242413282</v>
      </c>
    </row>
    <row r="33" spans="1:18" ht="14.25">
      <c r="A33" s="2" t="s">
        <v>24</v>
      </c>
      <c r="B33" s="31">
        <v>0.64100000000000001</v>
      </c>
      <c r="C33" s="31">
        <v>0.25925925925925924</v>
      </c>
      <c r="D33" s="31">
        <v>0.125</v>
      </c>
      <c r="E33" s="31">
        <v>0.33333333333333331</v>
      </c>
      <c r="F33" s="50">
        <f t="shared" ref="F33:N33" si="3">-F24/F22</f>
        <v>0.26219512195121952</v>
      </c>
      <c r="G33" s="31">
        <f t="shared" si="3"/>
        <v>0.25</v>
      </c>
      <c r="H33" s="31">
        <f t="shared" si="3"/>
        <v>0.21739130434782608</v>
      </c>
      <c r="I33" s="31">
        <f t="shared" si="3"/>
        <v>0.2857142857142857</v>
      </c>
      <c r="J33" s="31">
        <f t="shared" si="3"/>
        <v>0.203125</v>
      </c>
      <c r="K33" s="50">
        <f t="shared" si="3"/>
        <v>0.23333333333333334</v>
      </c>
      <c r="L33" s="31">
        <f t="shared" si="3"/>
        <v>0.21951219512195122</v>
      </c>
      <c r="M33" s="31">
        <f t="shared" si="3"/>
        <v>0.21873100849329105</v>
      </c>
      <c r="N33" s="31">
        <f t="shared" si="3"/>
        <v>0.22598610029655003</v>
      </c>
      <c r="O33" s="31">
        <v>0.23084508819187297</v>
      </c>
      <c r="P33" s="50">
        <v>0.23</v>
      </c>
      <c r="Q33" s="52"/>
    </row>
    <row r="34" spans="1:18" ht="10.5" customHeight="1">
      <c r="B34" s="31"/>
      <c r="C34" s="31"/>
      <c r="D34" s="31"/>
      <c r="E34" s="31"/>
      <c r="F34" s="50"/>
      <c r="G34" s="31"/>
      <c r="H34" s="31"/>
      <c r="I34" s="31"/>
      <c r="J34" s="31"/>
      <c r="K34" s="50"/>
      <c r="L34" s="31"/>
      <c r="M34" s="31"/>
      <c r="N34" s="31"/>
      <c r="O34" s="31"/>
      <c r="P34" s="50"/>
    </row>
    <row r="35" spans="1:18" ht="14.25"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</row>
    <row r="36" spans="1:18" ht="3" customHeight="1">
      <c r="A36" s="53"/>
      <c r="B36" s="54"/>
      <c r="C36" s="54"/>
      <c r="D36" s="54"/>
      <c r="E36" s="54"/>
      <c r="F36" s="55"/>
      <c r="G36" s="54"/>
      <c r="H36" s="54"/>
      <c r="I36" s="54"/>
      <c r="J36" s="54"/>
      <c r="K36" s="55"/>
      <c r="L36" s="54"/>
      <c r="M36" s="54"/>
      <c r="N36" s="54"/>
      <c r="O36" s="54"/>
      <c r="P36" s="55"/>
    </row>
    <row r="37" spans="1:18">
      <c r="B37" s="9"/>
      <c r="C37" s="9"/>
      <c r="D37" s="9"/>
      <c r="E37" s="9"/>
      <c r="F37" s="48"/>
      <c r="G37" s="9"/>
      <c r="H37" s="9"/>
      <c r="I37" s="9"/>
      <c r="J37" s="9"/>
      <c r="K37" s="48"/>
      <c r="L37" s="9"/>
      <c r="M37" s="9"/>
      <c r="N37" s="9"/>
      <c r="O37" s="9"/>
      <c r="P37" s="48"/>
    </row>
    <row r="38" spans="1:18" ht="15.75">
      <c r="A38" s="1" t="s">
        <v>131</v>
      </c>
      <c r="P38" s="3"/>
    </row>
    <row r="39" spans="1:18" ht="15.75">
      <c r="A39" s="1" t="s">
        <v>26</v>
      </c>
      <c r="P39" s="3"/>
    </row>
    <row r="40" spans="1:18">
      <c r="A40" s="4" t="s">
        <v>130</v>
      </c>
      <c r="B40" s="56" t="s">
        <v>5</v>
      </c>
      <c r="C40" s="56" t="s">
        <v>6</v>
      </c>
      <c r="D40" s="56" t="s">
        <v>7</v>
      </c>
      <c r="E40" s="56" t="s">
        <v>8</v>
      </c>
      <c r="F40" s="57" t="s">
        <v>9</v>
      </c>
      <c r="G40" s="56" t="s">
        <v>10</v>
      </c>
      <c r="H40" s="56" t="s">
        <v>11</v>
      </c>
      <c r="I40" s="56" t="s">
        <v>12</v>
      </c>
      <c r="J40" s="56" t="s">
        <v>13</v>
      </c>
      <c r="K40" s="57" t="s">
        <v>14</v>
      </c>
      <c r="L40" s="56" t="s">
        <v>50</v>
      </c>
      <c r="M40" s="56" t="s">
        <v>138</v>
      </c>
      <c r="N40" s="56" t="s">
        <v>159</v>
      </c>
      <c r="O40" s="5" t="s">
        <v>163</v>
      </c>
      <c r="P40" s="6" t="s">
        <v>164</v>
      </c>
    </row>
    <row r="41" spans="1:18" ht="14.25">
      <c r="A41" s="2" t="s">
        <v>0</v>
      </c>
      <c r="B41" s="9">
        <v>250</v>
      </c>
      <c r="C41" s="9">
        <v>250</v>
      </c>
      <c r="D41" s="9">
        <v>220</v>
      </c>
      <c r="E41" s="9">
        <v>259</v>
      </c>
      <c r="F41" s="41">
        <v>979</v>
      </c>
      <c r="G41" s="9">
        <v>300</v>
      </c>
      <c r="H41" s="9">
        <v>369</v>
      </c>
      <c r="I41" s="9">
        <v>313</v>
      </c>
      <c r="J41" s="9">
        <v>316</v>
      </c>
      <c r="K41" s="41">
        <v>1298</v>
      </c>
      <c r="L41" s="9">
        <v>390</v>
      </c>
      <c r="M41" s="9">
        <v>403</v>
      </c>
      <c r="N41" s="9">
        <v>340.46630355020011</v>
      </c>
      <c r="O41" s="9">
        <v>410.44991570629958</v>
      </c>
      <c r="P41" s="41">
        <v>1543.4499157062996</v>
      </c>
    </row>
    <row r="42" spans="1:18" ht="14.25">
      <c r="A42" s="2" t="s">
        <v>16</v>
      </c>
      <c r="B42" s="9">
        <v>-10</v>
      </c>
      <c r="C42" s="9">
        <v>-17</v>
      </c>
      <c r="D42" s="9">
        <v>-11</v>
      </c>
      <c r="E42" s="9">
        <v>-7</v>
      </c>
      <c r="F42" s="41">
        <v>-45</v>
      </c>
      <c r="G42" s="9">
        <v>-21</v>
      </c>
      <c r="H42" s="9">
        <v>-27</v>
      </c>
      <c r="I42" s="9">
        <v>-21</v>
      </c>
      <c r="J42" s="9">
        <v>-12</v>
      </c>
      <c r="K42" s="41">
        <v>-81</v>
      </c>
      <c r="L42" s="9">
        <v>-34</v>
      </c>
      <c r="M42" s="9">
        <v>-33</v>
      </c>
      <c r="N42" s="9">
        <v>-27.167642815699995</v>
      </c>
      <c r="O42" s="9">
        <v>-20.268942747600018</v>
      </c>
      <c r="P42" s="41">
        <v>-114.43658556330001</v>
      </c>
      <c r="R42" s="58"/>
    </row>
    <row r="43" spans="1:18" s="3" customFormat="1">
      <c r="A43" s="44" t="s">
        <v>15</v>
      </c>
      <c r="B43" s="45">
        <v>239</v>
      </c>
      <c r="C43" s="45">
        <v>233</v>
      </c>
      <c r="D43" s="45">
        <v>210</v>
      </c>
      <c r="E43" s="45">
        <v>252</v>
      </c>
      <c r="F43" s="46">
        <v>934</v>
      </c>
      <c r="G43" s="45">
        <v>278</v>
      </c>
      <c r="H43" s="45">
        <v>342</v>
      </c>
      <c r="I43" s="45">
        <v>292</v>
      </c>
      <c r="J43" s="45">
        <v>304</v>
      </c>
      <c r="K43" s="46">
        <v>1217</v>
      </c>
      <c r="L43" s="45">
        <v>356</v>
      </c>
      <c r="M43" s="45">
        <v>370</v>
      </c>
      <c r="N43" s="45">
        <v>313.29866073450012</v>
      </c>
      <c r="O43" s="45">
        <v>389.61001724660014</v>
      </c>
      <c r="P43" s="46">
        <v>1428.9086779811003</v>
      </c>
      <c r="R43" s="47"/>
    </row>
    <row r="44" spans="1:18" ht="10.5" customHeight="1">
      <c r="B44" s="9"/>
      <c r="C44" s="9"/>
      <c r="D44" s="9"/>
      <c r="E44" s="9"/>
      <c r="F44" s="10"/>
      <c r="G44" s="9"/>
      <c r="H44" s="9"/>
      <c r="I44" s="9"/>
      <c r="J44" s="9"/>
      <c r="K44" s="10"/>
      <c r="L44" s="9"/>
      <c r="M44" s="9"/>
      <c r="N44" s="9"/>
      <c r="O44" s="9"/>
      <c r="P44" s="10"/>
      <c r="Q44" s="3"/>
      <c r="R44" s="47"/>
    </row>
    <row r="45" spans="1:18">
      <c r="A45" s="2" t="s">
        <v>17</v>
      </c>
      <c r="B45" s="9">
        <v>-162</v>
      </c>
      <c r="C45" s="9">
        <v>-161</v>
      </c>
      <c r="D45" s="9">
        <v>-137</v>
      </c>
      <c r="E45" s="9">
        <v>-172</v>
      </c>
      <c r="F45" s="41">
        <v>-632</v>
      </c>
      <c r="G45" s="9">
        <v>-192</v>
      </c>
      <c r="H45" s="9">
        <v>-239</v>
      </c>
      <c r="I45" s="9">
        <v>-197</v>
      </c>
      <c r="J45" s="9">
        <v>-200</v>
      </c>
      <c r="K45" s="41">
        <v>-828</v>
      </c>
      <c r="L45" s="9">
        <v>-237</v>
      </c>
      <c r="M45" s="9">
        <v>-244</v>
      </c>
      <c r="N45" s="9">
        <v>-218.33342961359998</v>
      </c>
      <c r="O45" s="9">
        <v>-248.95806596790041</v>
      </c>
      <c r="P45" s="41">
        <v>-948.29149558150039</v>
      </c>
      <c r="Q45" s="3"/>
      <c r="R45" s="47"/>
    </row>
    <row r="46" spans="1:18" ht="14.25">
      <c r="A46" s="2" t="s">
        <v>18</v>
      </c>
      <c r="B46" s="9">
        <v>-40</v>
      </c>
      <c r="C46" s="9">
        <v>-31</v>
      </c>
      <c r="D46" s="9">
        <v>-31</v>
      </c>
      <c r="E46" s="9">
        <v>-25</v>
      </c>
      <c r="F46" s="41">
        <v>-128</v>
      </c>
      <c r="G46" s="9">
        <v>-36</v>
      </c>
      <c r="H46" s="9">
        <v>-45</v>
      </c>
      <c r="I46" s="9">
        <v>-42</v>
      </c>
      <c r="J46" s="9">
        <v>-41</v>
      </c>
      <c r="K46" s="41">
        <v>-164</v>
      </c>
      <c r="L46" s="9">
        <v>-58</v>
      </c>
      <c r="M46" s="9">
        <v>-55</v>
      </c>
      <c r="N46" s="9">
        <v>-41.873763443699993</v>
      </c>
      <c r="O46" s="9">
        <v>-63.012413430700043</v>
      </c>
      <c r="P46" s="41">
        <v>-217.88617687440004</v>
      </c>
    </row>
    <row r="47" spans="1:18" s="3" customFormat="1">
      <c r="A47" s="44" t="s">
        <v>172</v>
      </c>
      <c r="B47" s="45">
        <v>37</v>
      </c>
      <c r="C47" s="45">
        <v>41</v>
      </c>
      <c r="D47" s="45">
        <v>41</v>
      </c>
      <c r="E47" s="45">
        <v>55</v>
      </c>
      <c r="F47" s="46">
        <v>174</v>
      </c>
      <c r="G47" s="45">
        <v>51</v>
      </c>
      <c r="H47" s="45">
        <v>59</v>
      </c>
      <c r="I47" s="45">
        <v>52</v>
      </c>
      <c r="J47" s="45">
        <v>63</v>
      </c>
      <c r="K47" s="46">
        <v>225</v>
      </c>
      <c r="L47" s="45">
        <v>61</v>
      </c>
      <c r="M47" s="45">
        <v>71</v>
      </c>
      <c r="N47" s="45">
        <v>52.834528148300016</v>
      </c>
      <c r="O47" s="45">
        <v>77.437863698699957</v>
      </c>
      <c r="P47" s="46">
        <v>262.56322033430013</v>
      </c>
      <c r="R47" s="47"/>
    </row>
    <row r="48" spans="1:18" ht="10.5" customHeight="1">
      <c r="B48" s="9"/>
      <c r="C48" s="9"/>
      <c r="D48" s="9"/>
      <c r="E48" s="9"/>
      <c r="F48" s="10"/>
      <c r="G48" s="9"/>
      <c r="H48" s="9"/>
      <c r="I48" s="9"/>
      <c r="J48" s="9"/>
      <c r="K48" s="10"/>
      <c r="L48" s="9"/>
      <c r="M48" s="9"/>
      <c r="N48" s="9"/>
      <c r="O48" s="9"/>
      <c r="P48" s="10"/>
    </row>
    <row r="49" spans="1:18" ht="14.25">
      <c r="A49" s="2" t="s">
        <v>166</v>
      </c>
      <c r="B49" s="9">
        <v>0</v>
      </c>
      <c r="C49" s="9">
        <v>0</v>
      </c>
      <c r="D49" s="9">
        <v>0</v>
      </c>
      <c r="E49" s="9">
        <v>0</v>
      </c>
      <c r="F49" s="41">
        <v>0</v>
      </c>
      <c r="G49" s="9">
        <v>0</v>
      </c>
      <c r="H49" s="9">
        <v>0</v>
      </c>
      <c r="I49" s="9">
        <v>0</v>
      </c>
      <c r="J49" s="9">
        <v>0</v>
      </c>
      <c r="K49" s="41">
        <v>0</v>
      </c>
      <c r="L49" s="9">
        <v>0</v>
      </c>
      <c r="M49" s="9">
        <v>0</v>
      </c>
      <c r="N49" s="9">
        <v>0.75</v>
      </c>
      <c r="O49" s="9">
        <v>1.3029999999999999</v>
      </c>
      <c r="P49" s="41">
        <v>2</v>
      </c>
    </row>
    <row r="50" spans="1:18">
      <c r="A50" s="59" t="s">
        <v>167</v>
      </c>
      <c r="B50" s="45">
        <v>37</v>
      </c>
      <c r="C50" s="45">
        <v>41</v>
      </c>
      <c r="D50" s="45">
        <v>41</v>
      </c>
      <c r="E50" s="45">
        <v>55</v>
      </c>
      <c r="F50" s="46">
        <v>174</v>
      </c>
      <c r="G50" s="45">
        <v>51</v>
      </c>
      <c r="H50" s="45">
        <v>59</v>
      </c>
      <c r="I50" s="45">
        <v>52</v>
      </c>
      <c r="J50" s="45">
        <v>63</v>
      </c>
      <c r="K50" s="46">
        <v>225</v>
      </c>
      <c r="L50" s="45">
        <v>61</v>
      </c>
      <c r="M50" s="45">
        <v>71</v>
      </c>
      <c r="N50" s="45">
        <v>52.834528148300016</v>
      </c>
      <c r="O50" s="45">
        <v>78.740863698699954</v>
      </c>
      <c r="P50" s="46">
        <f>+P47+P49</f>
        <v>264.56322033430013</v>
      </c>
    </row>
    <row r="51" spans="1:18" ht="10.5" customHeight="1">
      <c r="B51" s="9"/>
      <c r="C51" s="9"/>
      <c r="D51" s="9"/>
      <c r="E51" s="9"/>
      <c r="F51" s="10"/>
      <c r="G51" s="9"/>
      <c r="H51" s="9"/>
      <c r="I51" s="9"/>
      <c r="J51" s="9"/>
      <c r="K51" s="10"/>
      <c r="L51" s="9"/>
      <c r="M51" s="9"/>
      <c r="N51" s="9"/>
      <c r="O51" s="9"/>
      <c r="P51" s="10"/>
    </row>
    <row r="52" spans="1:18" ht="14.25">
      <c r="A52" s="2" t="s">
        <v>1</v>
      </c>
      <c r="B52" s="31">
        <v>0.13100000000000001</v>
      </c>
      <c r="C52" s="31">
        <v>0.152</v>
      </c>
      <c r="D52" s="31">
        <v>0.15</v>
      </c>
      <c r="E52" s="31">
        <v>0.20899999999999999</v>
      </c>
      <c r="F52" s="50">
        <v>0.161</v>
      </c>
      <c r="G52" s="31">
        <v>0.2</v>
      </c>
      <c r="H52" s="31">
        <v>0.47399999999999998</v>
      </c>
      <c r="I52" s="31">
        <v>0.42499999999999999</v>
      </c>
      <c r="J52" s="31">
        <v>0.22007722007722008</v>
      </c>
      <c r="K52" s="50">
        <v>0.32200000000000001</v>
      </c>
      <c r="L52" s="31">
        <v>0.3</v>
      </c>
      <c r="M52" s="31">
        <v>9.1999999999999998E-2</v>
      </c>
      <c r="N52" s="31">
        <v>9.5000000000000001E-2</v>
      </c>
      <c r="O52" s="31">
        <v>0.29163523403435299</v>
      </c>
      <c r="P52" s="50">
        <v>0.19306164725000563</v>
      </c>
    </row>
    <row r="53" spans="1:18" ht="14.25">
      <c r="A53" s="2" t="s">
        <v>171</v>
      </c>
      <c r="B53" s="31">
        <v>0.14799999999999999</v>
      </c>
      <c r="C53" s="31">
        <v>0.16300000000000001</v>
      </c>
      <c r="D53" s="31">
        <v>0.185</v>
      </c>
      <c r="E53" s="31">
        <v>0.21199999999999999</v>
      </c>
      <c r="F53" s="50">
        <v>0.17799999999999999</v>
      </c>
      <c r="G53" s="31">
        <v>0.17</v>
      </c>
      <c r="H53" s="31">
        <v>0.161</v>
      </c>
      <c r="I53" s="31">
        <v>0.16700000000000001</v>
      </c>
      <c r="J53" s="31">
        <v>0.19936708860759494</v>
      </c>
      <c r="K53" s="50">
        <v>0.17399999999999999</v>
      </c>
      <c r="L53" s="31">
        <v>0.157</v>
      </c>
      <c r="M53" s="31">
        <v>0.17599999999999999</v>
      </c>
      <c r="N53" s="31">
        <v>0.155</v>
      </c>
      <c r="O53" s="31">
        <v>0.1860830183413705</v>
      </c>
      <c r="P53" s="50">
        <v>0.17011450625150237</v>
      </c>
    </row>
    <row r="54" spans="1:18" ht="14.25">
      <c r="A54" s="51" t="s">
        <v>170</v>
      </c>
      <c r="B54" s="31">
        <v>0.14799999999999999</v>
      </c>
      <c r="C54" s="31">
        <v>0.16300000000000001</v>
      </c>
      <c r="D54" s="31">
        <v>0.185</v>
      </c>
      <c r="E54" s="31">
        <v>0.21199999999999999</v>
      </c>
      <c r="F54" s="50">
        <v>0.17799999999999999</v>
      </c>
      <c r="G54" s="31">
        <f t="shared" ref="G54:P54" si="4">+G50/G41</f>
        <v>0.17</v>
      </c>
      <c r="H54" s="31">
        <f t="shared" si="4"/>
        <v>0.15989159891598917</v>
      </c>
      <c r="I54" s="31">
        <f t="shared" si="4"/>
        <v>0.16613418530351437</v>
      </c>
      <c r="J54" s="31">
        <f t="shared" si="4"/>
        <v>0.19936708860759494</v>
      </c>
      <c r="K54" s="50">
        <f t="shared" si="4"/>
        <v>0.17334360554699538</v>
      </c>
      <c r="L54" s="31">
        <f t="shared" si="4"/>
        <v>0.15641025641025641</v>
      </c>
      <c r="M54" s="31">
        <f t="shared" si="4"/>
        <v>0.17617866004962779</v>
      </c>
      <c r="N54" s="31">
        <f t="shared" si="4"/>
        <v>0.15518284070220717</v>
      </c>
      <c r="O54" s="31">
        <v>0.19184037000763707</v>
      </c>
      <c r="P54" s="50">
        <f t="shared" si="4"/>
        <v>0.17141030469604393</v>
      </c>
    </row>
    <row r="55" spans="1:18" ht="14.25"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</row>
    <row r="56" spans="1:18" ht="3" customHeight="1">
      <c r="A56" s="53"/>
      <c r="B56" s="54"/>
      <c r="C56" s="54"/>
      <c r="D56" s="54"/>
      <c r="E56" s="54"/>
      <c r="F56" s="55"/>
      <c r="G56" s="54"/>
      <c r="H56" s="54"/>
      <c r="I56" s="54"/>
      <c r="J56" s="54"/>
      <c r="K56" s="55"/>
      <c r="L56" s="54"/>
      <c r="M56" s="54"/>
      <c r="N56" s="54"/>
      <c r="O56" s="54"/>
      <c r="P56" s="55"/>
    </row>
    <row r="57" spans="1:18" ht="14.25">
      <c r="B57" s="60"/>
      <c r="C57" s="60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</row>
    <row r="58" spans="1:18" ht="15.75">
      <c r="A58" s="1" t="s">
        <v>131</v>
      </c>
      <c r="P58" s="3"/>
    </row>
    <row r="59" spans="1:18" ht="15.75">
      <c r="A59" s="1" t="s">
        <v>25</v>
      </c>
      <c r="P59" s="3"/>
    </row>
    <row r="60" spans="1:18">
      <c r="A60" s="4" t="s">
        <v>130</v>
      </c>
      <c r="B60" s="56" t="s">
        <v>5</v>
      </c>
      <c r="C60" s="56" t="s">
        <v>6</v>
      </c>
      <c r="D60" s="56" t="s">
        <v>7</v>
      </c>
      <c r="E60" s="56" t="s">
        <v>8</v>
      </c>
      <c r="F60" s="57" t="s">
        <v>9</v>
      </c>
      <c r="G60" s="56" t="s">
        <v>10</v>
      </c>
      <c r="H60" s="56" t="s">
        <v>11</v>
      </c>
      <c r="I60" s="56" t="s">
        <v>12</v>
      </c>
      <c r="J60" s="56" t="s">
        <v>13</v>
      </c>
      <c r="K60" s="57" t="s">
        <v>14</v>
      </c>
      <c r="L60" s="56" t="s">
        <v>50</v>
      </c>
      <c r="M60" s="56" t="s">
        <v>138</v>
      </c>
      <c r="N60" s="56" t="s">
        <v>159</v>
      </c>
      <c r="O60" s="5" t="s">
        <v>163</v>
      </c>
      <c r="P60" s="6" t="s">
        <v>164</v>
      </c>
    </row>
    <row r="61" spans="1:18" ht="14.25">
      <c r="A61" s="2" t="s">
        <v>0</v>
      </c>
      <c r="B61" s="9">
        <v>191.77032495409995</v>
      </c>
      <c r="C61" s="9">
        <v>193.38559272759994</v>
      </c>
      <c r="D61" s="9">
        <v>195.9677747918</v>
      </c>
      <c r="E61" s="9">
        <v>269.83908287130009</v>
      </c>
      <c r="F61" s="41">
        <v>850.96277534480009</v>
      </c>
      <c r="G61" s="9">
        <v>255</v>
      </c>
      <c r="H61" s="9">
        <v>252</v>
      </c>
      <c r="I61" s="9">
        <v>233</v>
      </c>
      <c r="J61" s="9">
        <v>307</v>
      </c>
      <c r="K61" s="41">
        <v>1047</v>
      </c>
      <c r="L61" s="9">
        <v>299</v>
      </c>
      <c r="M61" s="9">
        <v>293</v>
      </c>
      <c r="N61" s="9">
        <v>302</v>
      </c>
      <c r="O61" s="9">
        <v>366.0431502058002</v>
      </c>
      <c r="P61" s="41">
        <v>1260.0431502058002</v>
      </c>
    </row>
    <row r="62" spans="1:18" ht="14.25">
      <c r="A62" s="2" t="s">
        <v>16</v>
      </c>
      <c r="B62" s="9">
        <v>-70.770324954099948</v>
      </c>
      <c r="C62" s="9">
        <v>-65.385592727599942</v>
      </c>
      <c r="D62" s="9">
        <v>-67.967774791799997</v>
      </c>
      <c r="E62" s="9">
        <v>-94.839082871300093</v>
      </c>
      <c r="F62" s="41">
        <v>-298.96277534480009</v>
      </c>
      <c r="G62" s="9">
        <v>-98</v>
      </c>
      <c r="H62" s="9">
        <v>-90</v>
      </c>
      <c r="I62" s="9">
        <v>-79</v>
      </c>
      <c r="J62" s="9">
        <f>+K62-G62-H62-I62</f>
        <v>-101</v>
      </c>
      <c r="K62" s="41">
        <v>-368</v>
      </c>
      <c r="L62" s="9">
        <v>-93</v>
      </c>
      <c r="M62" s="9">
        <v>-90</v>
      </c>
      <c r="N62" s="9">
        <v>-102</v>
      </c>
      <c r="O62" s="9">
        <v>-120.57961633309998</v>
      </c>
      <c r="P62" s="41">
        <v>-405.57961633309998</v>
      </c>
      <c r="R62" s="58"/>
    </row>
    <row r="63" spans="1:18">
      <c r="A63" s="44" t="s">
        <v>15</v>
      </c>
      <c r="B63" s="45">
        <v>121</v>
      </c>
      <c r="C63" s="45">
        <v>128</v>
      </c>
      <c r="D63" s="45">
        <v>128</v>
      </c>
      <c r="E63" s="45">
        <v>175</v>
      </c>
      <c r="F63" s="46">
        <v>552</v>
      </c>
      <c r="G63" s="45">
        <v>157</v>
      </c>
      <c r="H63" s="45">
        <v>162</v>
      </c>
      <c r="I63" s="45">
        <v>154</v>
      </c>
      <c r="J63" s="45">
        <v>207</v>
      </c>
      <c r="K63" s="46">
        <v>679</v>
      </c>
      <c r="L63" s="45">
        <v>206</v>
      </c>
      <c r="M63" s="45">
        <v>203</v>
      </c>
      <c r="N63" s="45">
        <v>200.43154398199999</v>
      </c>
      <c r="O63" s="45">
        <v>245</v>
      </c>
      <c r="P63" s="46">
        <v>854.46353387270017</v>
      </c>
      <c r="Q63" s="48"/>
      <c r="R63" s="47"/>
    </row>
    <row r="64" spans="1:18" ht="10.5" customHeight="1">
      <c r="B64" s="9"/>
      <c r="C64" s="9"/>
      <c r="D64" s="9"/>
      <c r="E64" s="9"/>
      <c r="F64" s="10"/>
      <c r="G64" s="9"/>
      <c r="H64" s="9"/>
      <c r="I64" s="9"/>
      <c r="J64" s="9"/>
      <c r="K64" s="10"/>
      <c r="L64" s="9"/>
      <c r="M64" s="9"/>
      <c r="N64" s="9"/>
      <c r="O64" s="9"/>
      <c r="P64" s="10"/>
      <c r="Q64" s="3"/>
      <c r="R64" s="47"/>
    </row>
    <row r="65" spans="1:18">
      <c r="A65" s="2" t="s">
        <v>17</v>
      </c>
      <c r="B65" s="9">
        <v>-88</v>
      </c>
      <c r="C65" s="9">
        <v>-92</v>
      </c>
      <c r="D65" s="9">
        <v>-88</v>
      </c>
      <c r="E65" s="9">
        <v>-114</v>
      </c>
      <c r="F65" s="41">
        <v>-381</v>
      </c>
      <c r="G65" s="9">
        <v>-117</v>
      </c>
      <c r="H65" s="9">
        <v>-116</v>
      </c>
      <c r="I65" s="9">
        <v>-100</v>
      </c>
      <c r="J65" s="9">
        <v>-133</v>
      </c>
      <c r="K65" s="41">
        <v>-467</v>
      </c>
      <c r="L65" s="9">
        <v>-151</v>
      </c>
      <c r="M65" s="9">
        <v>-151</v>
      </c>
      <c r="N65" s="9">
        <v>-130.02612955110001</v>
      </c>
      <c r="O65" s="9">
        <v>-169.73312175920012</v>
      </c>
      <c r="P65" s="41">
        <v>-601.22465550170011</v>
      </c>
      <c r="Q65" s="3"/>
      <c r="R65" s="47"/>
    </row>
    <row r="66" spans="1:18" ht="14.25">
      <c r="A66" s="2" t="s">
        <v>18</v>
      </c>
      <c r="B66" s="9">
        <v>-17</v>
      </c>
      <c r="C66" s="9">
        <v>-12</v>
      </c>
      <c r="D66" s="9">
        <v>-14</v>
      </c>
      <c r="E66" s="9">
        <v>-14</v>
      </c>
      <c r="F66" s="41">
        <v>-57</v>
      </c>
      <c r="G66" s="9">
        <v>-18</v>
      </c>
      <c r="H66" s="9">
        <v>-17</v>
      </c>
      <c r="I66" s="9">
        <v>-19</v>
      </c>
      <c r="J66" s="9">
        <v>-18</v>
      </c>
      <c r="K66" s="41">
        <v>-72</v>
      </c>
      <c r="L66" s="9">
        <v>-22</v>
      </c>
      <c r="M66" s="9">
        <v>-22</v>
      </c>
      <c r="N66" s="9">
        <v>-22.205132731300001</v>
      </c>
      <c r="O66" s="9">
        <v>-23.056964094899996</v>
      </c>
      <c r="P66" s="41">
        <v>-89.476849774599998</v>
      </c>
    </row>
    <row r="67" spans="1:18">
      <c r="A67" s="44" t="s">
        <v>172</v>
      </c>
      <c r="B67" s="45">
        <v>16</v>
      </c>
      <c r="C67" s="45">
        <v>24</v>
      </c>
      <c r="D67" s="45">
        <v>26</v>
      </c>
      <c r="E67" s="45">
        <v>47</v>
      </c>
      <c r="F67" s="46">
        <v>113</v>
      </c>
      <c r="G67" s="45">
        <v>21</v>
      </c>
      <c r="H67" s="45">
        <v>28</v>
      </c>
      <c r="I67" s="45">
        <v>35</v>
      </c>
      <c r="J67" s="45">
        <v>56</v>
      </c>
      <c r="K67" s="46">
        <v>140</v>
      </c>
      <c r="L67" s="45">
        <v>33</v>
      </c>
      <c r="M67" s="45">
        <v>31</v>
      </c>
      <c r="N67" s="45">
        <v>47.800281699599921</v>
      </c>
      <c r="O67" s="45">
        <v>52.339090550099989</v>
      </c>
      <c r="P67" s="46">
        <v>164</v>
      </c>
      <c r="Q67" s="3"/>
      <c r="R67" s="47"/>
    </row>
    <row r="68" spans="1:18" ht="10.5" customHeight="1">
      <c r="B68" s="9"/>
      <c r="C68" s="9"/>
      <c r="D68" s="9"/>
      <c r="E68" s="9"/>
      <c r="F68" s="10"/>
      <c r="G68" s="9"/>
      <c r="H68" s="9"/>
      <c r="I68" s="9"/>
      <c r="J68" s="9"/>
      <c r="K68" s="10"/>
      <c r="L68" s="9"/>
      <c r="M68" s="9"/>
      <c r="N68" s="9"/>
      <c r="O68" s="9"/>
      <c r="P68" s="10"/>
    </row>
    <row r="69" spans="1:18" ht="14.25">
      <c r="A69" s="2" t="s">
        <v>166</v>
      </c>
      <c r="B69" s="9">
        <v>0</v>
      </c>
      <c r="C69" s="9">
        <v>0</v>
      </c>
      <c r="D69" s="9">
        <v>0</v>
      </c>
      <c r="E69" s="9">
        <v>0</v>
      </c>
      <c r="F69" s="41">
        <v>0</v>
      </c>
      <c r="G69" s="9">
        <v>0</v>
      </c>
      <c r="H69" s="9">
        <v>0</v>
      </c>
      <c r="I69" s="9">
        <v>-2</v>
      </c>
      <c r="J69" s="9">
        <v>0</v>
      </c>
      <c r="K69" s="41">
        <v>-2</v>
      </c>
      <c r="L69" s="9">
        <v>0</v>
      </c>
      <c r="M69" s="9">
        <v>0</v>
      </c>
      <c r="N69" s="9">
        <v>0</v>
      </c>
      <c r="O69" s="9">
        <v>0</v>
      </c>
      <c r="P69" s="41">
        <f>+SUM(L69:O69)</f>
        <v>0</v>
      </c>
    </row>
    <row r="70" spans="1:18">
      <c r="A70" s="59" t="s">
        <v>167</v>
      </c>
      <c r="B70" s="45">
        <v>16</v>
      </c>
      <c r="C70" s="45">
        <v>24</v>
      </c>
      <c r="D70" s="45">
        <v>26</v>
      </c>
      <c r="E70" s="45">
        <v>47</v>
      </c>
      <c r="F70" s="46">
        <v>113</v>
      </c>
      <c r="G70" s="45">
        <v>21</v>
      </c>
      <c r="H70" s="45">
        <v>28</v>
      </c>
      <c r="I70" s="45">
        <v>33</v>
      </c>
      <c r="J70" s="45">
        <v>56</v>
      </c>
      <c r="K70" s="46">
        <v>138</v>
      </c>
      <c r="L70" s="45">
        <v>33</v>
      </c>
      <c r="M70" s="45">
        <v>31</v>
      </c>
      <c r="N70" s="45">
        <v>47.800281699599921</v>
      </c>
      <c r="O70" s="45">
        <v>52.339090550099989</v>
      </c>
      <c r="P70" s="46">
        <f>+P67+P69</f>
        <v>164</v>
      </c>
    </row>
    <row r="71" spans="1:18" ht="10.5" customHeight="1">
      <c r="B71" s="9"/>
      <c r="C71" s="9"/>
      <c r="D71" s="9"/>
      <c r="E71" s="9"/>
      <c r="F71" s="10"/>
      <c r="G71" s="9"/>
      <c r="H71" s="9"/>
      <c r="I71" s="9"/>
      <c r="J71" s="9"/>
      <c r="K71" s="10"/>
      <c r="L71" s="9"/>
      <c r="M71" s="9"/>
      <c r="N71" s="9"/>
      <c r="O71" s="9"/>
      <c r="P71" s="10"/>
    </row>
    <row r="72" spans="1:18" ht="14.25">
      <c r="A72" s="2" t="s">
        <v>1</v>
      </c>
      <c r="B72" s="31">
        <v>0.54700000000000004</v>
      </c>
      <c r="C72" s="31">
        <v>0.60899999999999999</v>
      </c>
      <c r="D72" s="31">
        <v>0.69699999999999995</v>
      </c>
      <c r="E72" s="31">
        <v>0.628</v>
      </c>
      <c r="F72" s="50">
        <v>0.621</v>
      </c>
      <c r="G72" s="31">
        <v>0.32718761982187811</v>
      </c>
      <c r="H72" s="31">
        <v>0.30112575962226268</v>
      </c>
      <c r="I72" s="31">
        <v>0.19500000000000001</v>
      </c>
      <c r="J72" s="31">
        <v>0.13925007394470523</v>
      </c>
      <c r="K72" s="50">
        <v>0.23031899561092534</v>
      </c>
      <c r="L72" s="31">
        <v>0.17601873481111552</v>
      </c>
      <c r="M72" s="31">
        <v>0.16632119564966932</v>
      </c>
      <c r="N72" s="31">
        <v>0.29456758427529489</v>
      </c>
      <c r="O72" s="31">
        <v>0.18764340902719923</v>
      </c>
      <c r="P72" s="50">
        <v>0.20353056948319909</v>
      </c>
    </row>
    <row r="73" spans="1:18" ht="14.25">
      <c r="A73" s="2" t="s">
        <v>171</v>
      </c>
      <c r="B73" s="31">
        <v>8.3433138071959706E-2</v>
      </c>
      <c r="C73" s="31">
        <v>0.12410438472428524</v>
      </c>
      <c r="D73" s="31">
        <v>0.13267487487482527</v>
      </c>
      <c r="E73" s="31">
        <v>0.17417788223960382</v>
      </c>
      <c r="F73" s="50">
        <v>0.13279076743893262</v>
      </c>
      <c r="G73" s="31">
        <v>8.2509806514126399E-2</v>
      </c>
      <c r="H73" s="31">
        <v>0.11127936540664125</v>
      </c>
      <c r="I73" s="31">
        <v>0.14000000000000001</v>
      </c>
      <c r="J73" s="31">
        <v>0.18216465241358998</v>
      </c>
      <c r="K73" s="50">
        <v>0.13372103939466523</v>
      </c>
      <c r="L73" s="31">
        <v>0.11025187230556013</v>
      </c>
      <c r="M73" s="31">
        <v>0.10563312663517721</v>
      </c>
      <c r="N73" s="31">
        <v>0.15885543730652735</v>
      </c>
      <c r="O73" s="31">
        <v>0.14335610463714085</v>
      </c>
      <c r="P73" s="50">
        <v>0.13015427287011103</v>
      </c>
    </row>
    <row r="74" spans="1:18" ht="14.25">
      <c r="A74" s="51" t="s">
        <v>170</v>
      </c>
      <c r="B74" s="31">
        <v>8.3433138071959706E-2</v>
      </c>
      <c r="C74" s="31">
        <v>0.12410438472428524</v>
      </c>
      <c r="D74" s="31">
        <v>0.13267487487482527</v>
      </c>
      <c r="E74" s="31">
        <v>0.17417788223960382</v>
      </c>
      <c r="F74" s="50">
        <v>0.13279076743893262</v>
      </c>
      <c r="G74" s="31">
        <f t="shared" ref="G74:P74" si="5">+G70/G61</f>
        <v>8.2352941176470587E-2</v>
      </c>
      <c r="H74" s="31">
        <f t="shared" si="5"/>
        <v>0.1111111111111111</v>
      </c>
      <c r="I74" s="31">
        <f t="shared" si="5"/>
        <v>0.14163090128755365</v>
      </c>
      <c r="J74" s="31">
        <f t="shared" si="5"/>
        <v>0.18241042345276873</v>
      </c>
      <c r="K74" s="50">
        <f t="shared" si="5"/>
        <v>0.1318051575931232</v>
      </c>
      <c r="L74" s="31">
        <f t="shared" si="5"/>
        <v>0.11036789297658862</v>
      </c>
      <c r="M74" s="31">
        <f t="shared" si="5"/>
        <v>0.10580204778156997</v>
      </c>
      <c r="N74" s="31">
        <f t="shared" si="5"/>
        <v>0.15827907847549644</v>
      </c>
      <c r="O74" s="31">
        <v>0.14298612204783348</v>
      </c>
      <c r="P74" s="50">
        <f t="shared" si="5"/>
        <v>0.13015427287011103</v>
      </c>
    </row>
    <row r="75" spans="1:18" ht="14.25"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</row>
    <row r="76" spans="1:18" ht="3" customHeight="1">
      <c r="A76" s="53"/>
      <c r="B76" s="54"/>
      <c r="C76" s="54"/>
      <c r="D76" s="54"/>
      <c r="E76" s="54"/>
      <c r="F76" s="55"/>
      <c r="G76" s="54"/>
      <c r="H76" s="54"/>
      <c r="I76" s="54"/>
      <c r="J76" s="54"/>
      <c r="K76" s="55"/>
      <c r="L76" s="54"/>
      <c r="M76" s="54"/>
      <c r="N76" s="54"/>
      <c r="O76" s="54"/>
      <c r="P76" s="55"/>
    </row>
    <row r="77" spans="1:18" ht="14.25">
      <c r="B77" s="60"/>
      <c r="C77" s="60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</row>
    <row r="78" spans="1:18" ht="15.75">
      <c r="A78" s="1" t="s">
        <v>131</v>
      </c>
      <c r="P78" s="3"/>
    </row>
    <row r="79" spans="1:18" ht="15.75">
      <c r="A79" s="1" t="s">
        <v>136</v>
      </c>
      <c r="P79" s="3"/>
    </row>
    <row r="80" spans="1:18">
      <c r="A80" s="4" t="s">
        <v>130</v>
      </c>
      <c r="B80" s="56" t="s">
        <v>5</v>
      </c>
      <c r="C80" s="56" t="s">
        <v>6</v>
      </c>
      <c r="D80" s="56" t="s">
        <v>7</v>
      </c>
      <c r="E80" s="56" t="s">
        <v>8</v>
      </c>
      <c r="F80" s="57" t="s">
        <v>9</v>
      </c>
      <c r="G80" s="56" t="s">
        <v>10</v>
      </c>
      <c r="H80" s="56" t="s">
        <v>11</v>
      </c>
      <c r="I80" s="56" t="s">
        <v>12</v>
      </c>
      <c r="J80" s="56" t="s">
        <v>13</v>
      </c>
      <c r="K80" s="57" t="s">
        <v>14</v>
      </c>
      <c r="L80" s="56" t="s">
        <v>50</v>
      </c>
      <c r="M80" s="56" t="s">
        <v>138</v>
      </c>
      <c r="N80" s="56" t="s">
        <v>159</v>
      </c>
      <c r="O80" s="5" t="s">
        <v>163</v>
      </c>
      <c r="P80" s="6" t="s">
        <v>164</v>
      </c>
    </row>
    <row r="81" spans="1:18" ht="14.25">
      <c r="A81" s="2" t="s">
        <v>0</v>
      </c>
      <c r="B81" s="9">
        <v>15</v>
      </c>
      <c r="C81" s="9">
        <v>15</v>
      </c>
      <c r="D81" s="9">
        <v>16</v>
      </c>
      <c r="E81" s="9">
        <v>25</v>
      </c>
      <c r="F81" s="41">
        <v>71</v>
      </c>
      <c r="G81" s="9">
        <v>20</v>
      </c>
      <c r="H81" s="9">
        <v>21</v>
      </c>
      <c r="I81" s="9">
        <v>22</v>
      </c>
      <c r="J81" s="9">
        <v>34</v>
      </c>
      <c r="K81" s="41">
        <v>97</v>
      </c>
      <c r="L81" s="9">
        <v>25</v>
      </c>
      <c r="M81" s="9">
        <v>39</v>
      </c>
      <c r="N81" s="9">
        <v>33</v>
      </c>
      <c r="O81" s="9">
        <v>45.7245410644</v>
      </c>
      <c r="P81" s="41">
        <v>142.9709872958</v>
      </c>
    </row>
    <row r="82" spans="1:18">
      <c r="A82" s="2" t="s">
        <v>16</v>
      </c>
      <c r="B82" s="9">
        <v>-3</v>
      </c>
      <c r="C82" s="9">
        <v>-3</v>
      </c>
      <c r="D82" s="9">
        <v>-3</v>
      </c>
      <c r="E82" s="9">
        <v>-6</v>
      </c>
      <c r="F82" s="41">
        <v>-15</v>
      </c>
      <c r="G82" s="9">
        <v>-2</v>
      </c>
      <c r="H82" s="9">
        <v>-3</v>
      </c>
      <c r="I82" s="9">
        <v>-5</v>
      </c>
      <c r="J82" s="9">
        <v>-11</v>
      </c>
      <c r="K82" s="41">
        <v>-21</v>
      </c>
      <c r="L82" s="9">
        <v>-2</v>
      </c>
      <c r="M82" s="9">
        <v>-14</v>
      </c>
      <c r="N82" s="9">
        <v>-9</v>
      </c>
      <c r="O82" s="9">
        <v>-13.7245410644</v>
      </c>
      <c r="P82" s="41">
        <v>-38.54342499740001</v>
      </c>
      <c r="Q82" s="3"/>
      <c r="R82" s="47"/>
    </row>
    <row r="83" spans="1:18">
      <c r="A83" s="44" t="s">
        <v>15</v>
      </c>
      <c r="B83" s="45">
        <v>12</v>
      </c>
      <c r="C83" s="45">
        <v>12</v>
      </c>
      <c r="D83" s="45">
        <v>13</v>
      </c>
      <c r="E83" s="45">
        <v>19</v>
      </c>
      <c r="F83" s="46">
        <v>56</v>
      </c>
      <c r="G83" s="45">
        <v>18</v>
      </c>
      <c r="H83" s="45">
        <v>18</v>
      </c>
      <c r="I83" s="45">
        <v>17</v>
      </c>
      <c r="J83" s="45">
        <v>23</v>
      </c>
      <c r="K83" s="46">
        <v>76</v>
      </c>
      <c r="L83" s="45">
        <v>23</v>
      </c>
      <c r="M83" s="45">
        <v>25</v>
      </c>
      <c r="N83" s="45">
        <v>24.465497239800008</v>
      </c>
      <c r="O83" s="45">
        <v>32</v>
      </c>
      <c r="P83" s="46">
        <v>104.6254061484</v>
      </c>
      <c r="Q83" s="3"/>
      <c r="R83" s="47"/>
    </row>
    <row r="84" spans="1:18" ht="10.5" customHeight="1">
      <c r="B84" s="9"/>
      <c r="C84" s="9"/>
      <c r="D84" s="9"/>
      <c r="E84" s="9"/>
      <c r="F84" s="10"/>
      <c r="G84" s="9"/>
      <c r="H84" s="9"/>
      <c r="I84" s="9"/>
      <c r="J84" s="9"/>
      <c r="K84" s="10"/>
      <c r="L84" s="9"/>
      <c r="M84" s="9"/>
      <c r="N84" s="9"/>
      <c r="O84" s="9"/>
      <c r="P84" s="10"/>
      <c r="Q84" s="3"/>
      <c r="R84" s="47"/>
    </row>
    <row r="85" spans="1:18">
      <c r="A85" s="2" t="s">
        <v>17</v>
      </c>
      <c r="B85" s="9">
        <v>-12</v>
      </c>
      <c r="C85" s="9">
        <v>-8</v>
      </c>
      <c r="D85" s="9">
        <v>-7</v>
      </c>
      <c r="E85" s="9">
        <v>-13</v>
      </c>
      <c r="F85" s="41">
        <v>-40</v>
      </c>
      <c r="G85" s="9">
        <v>-15</v>
      </c>
      <c r="H85" s="9">
        <v>-16</v>
      </c>
      <c r="I85" s="9">
        <v>-12</v>
      </c>
      <c r="J85" s="9">
        <v>-12</v>
      </c>
      <c r="K85" s="41">
        <v>-55</v>
      </c>
      <c r="L85" s="9">
        <v>-17</v>
      </c>
      <c r="M85" s="9">
        <v>-18</v>
      </c>
      <c r="N85" s="9">
        <v>-16.471307418000002</v>
      </c>
      <c r="O85" s="9">
        <v>-14.072628013600003</v>
      </c>
      <c r="P85" s="41">
        <v>-65.543935431600005</v>
      </c>
      <c r="Q85" s="3"/>
      <c r="R85" s="47"/>
    </row>
    <row r="86" spans="1:18">
      <c r="A86" s="2" t="s">
        <v>18</v>
      </c>
      <c r="B86" s="9">
        <v>-3</v>
      </c>
      <c r="C86" s="9">
        <v>-4</v>
      </c>
      <c r="D86" s="9">
        <v>-4</v>
      </c>
      <c r="E86" s="9">
        <v>-6</v>
      </c>
      <c r="F86" s="41">
        <v>-17</v>
      </c>
      <c r="G86" s="9">
        <v>-5</v>
      </c>
      <c r="H86" s="9">
        <v>-6</v>
      </c>
      <c r="I86" s="9">
        <v>-5</v>
      </c>
      <c r="J86" s="9">
        <v>-7</v>
      </c>
      <c r="K86" s="41">
        <v>-23</v>
      </c>
      <c r="L86" s="9">
        <v>-8</v>
      </c>
      <c r="M86" s="9">
        <v>-7</v>
      </c>
      <c r="N86" s="9">
        <v>-5.8680991847000001</v>
      </c>
      <c r="O86" s="9">
        <v>-12.113623435300006</v>
      </c>
      <c r="P86" s="41">
        <v>-32.981722620000006</v>
      </c>
      <c r="Q86" s="3"/>
      <c r="R86" s="47"/>
    </row>
    <row r="87" spans="1:18">
      <c r="A87" s="44" t="s">
        <v>172</v>
      </c>
      <c r="B87" s="45">
        <v>-2</v>
      </c>
      <c r="C87" s="45">
        <v>0</v>
      </c>
      <c r="D87" s="45">
        <v>2</v>
      </c>
      <c r="E87" s="45">
        <v>0</v>
      </c>
      <c r="F87" s="46">
        <v>0</v>
      </c>
      <c r="G87" s="45">
        <v>-2</v>
      </c>
      <c r="H87" s="45">
        <v>-4</v>
      </c>
      <c r="I87" s="45">
        <v>0</v>
      </c>
      <c r="J87" s="45">
        <v>4</v>
      </c>
      <c r="K87" s="46">
        <v>-2</v>
      </c>
      <c r="L87" s="45">
        <v>-2</v>
      </c>
      <c r="M87" s="45">
        <v>0</v>
      </c>
      <c r="N87" s="45">
        <v>1.9260906371000075</v>
      </c>
      <c r="O87" s="45">
        <v>6.1107141706000103</v>
      </c>
      <c r="P87" s="46">
        <v>6.1107141706000103</v>
      </c>
    </row>
    <row r="88" spans="1:18" ht="10.5" customHeight="1">
      <c r="B88" s="9"/>
      <c r="C88" s="9"/>
      <c r="D88" s="9"/>
      <c r="E88" s="9"/>
      <c r="F88" s="10"/>
      <c r="G88" s="9"/>
      <c r="H88" s="9"/>
      <c r="I88" s="9"/>
      <c r="J88" s="9"/>
      <c r="K88" s="10"/>
      <c r="L88" s="9"/>
      <c r="M88" s="9"/>
      <c r="N88" s="9"/>
      <c r="O88" s="9"/>
      <c r="P88" s="10"/>
    </row>
    <row r="89" spans="1:18" ht="14.25">
      <c r="A89" s="2" t="s">
        <v>166</v>
      </c>
      <c r="B89" s="9">
        <v>0</v>
      </c>
      <c r="C89" s="9">
        <v>0</v>
      </c>
      <c r="D89" s="9">
        <v>0</v>
      </c>
      <c r="E89" s="9">
        <v>0</v>
      </c>
      <c r="F89" s="41">
        <v>0</v>
      </c>
      <c r="G89" s="9">
        <v>0</v>
      </c>
      <c r="H89" s="9">
        <v>0</v>
      </c>
      <c r="I89" s="9">
        <v>0</v>
      </c>
      <c r="J89" s="9">
        <v>0</v>
      </c>
      <c r="K89" s="41">
        <v>0</v>
      </c>
      <c r="L89" s="9">
        <v>0.42678500000000003</v>
      </c>
      <c r="M89" s="9">
        <v>-0.42678500000000003</v>
      </c>
      <c r="N89" s="9">
        <v>0</v>
      </c>
      <c r="O89" s="9">
        <v>0</v>
      </c>
      <c r="P89" s="41">
        <f>+SUM(L89:O89)</f>
        <v>0</v>
      </c>
    </row>
    <row r="90" spans="1:18">
      <c r="A90" s="59" t="s">
        <v>167</v>
      </c>
      <c r="B90" s="45">
        <v>-2</v>
      </c>
      <c r="C90" s="45">
        <v>0</v>
      </c>
      <c r="D90" s="45">
        <v>2</v>
      </c>
      <c r="E90" s="45">
        <v>0</v>
      </c>
      <c r="F90" s="46">
        <v>0</v>
      </c>
      <c r="G90" s="45">
        <v>-2</v>
      </c>
      <c r="H90" s="45">
        <v>-4</v>
      </c>
      <c r="I90" s="45">
        <v>0</v>
      </c>
      <c r="J90" s="45">
        <v>4</v>
      </c>
      <c r="K90" s="46">
        <v>-2</v>
      </c>
      <c r="L90" s="45">
        <v>-2.2999999999999998</v>
      </c>
      <c r="M90" s="45">
        <v>-0.42678500000000003</v>
      </c>
      <c r="N90" s="45">
        <v>1.9260906371000075</v>
      </c>
      <c r="O90" s="45">
        <v>6</v>
      </c>
      <c r="P90" s="46">
        <f>+P87+P89</f>
        <v>6.1107141706000103</v>
      </c>
    </row>
    <row r="91" spans="1:18" ht="10.5" customHeight="1">
      <c r="B91" s="9"/>
      <c r="C91" s="9"/>
      <c r="D91" s="9"/>
      <c r="E91" s="9"/>
      <c r="F91" s="10"/>
      <c r="G91" s="9"/>
      <c r="H91" s="9"/>
      <c r="I91" s="9"/>
      <c r="J91" s="9"/>
      <c r="K91" s="10"/>
      <c r="L91" s="9"/>
      <c r="M91" s="9"/>
      <c r="N91" s="9"/>
      <c r="O91" s="9"/>
      <c r="P91" s="10"/>
    </row>
    <row r="92" spans="1:18" ht="14.25">
      <c r="A92" s="2" t="s">
        <v>1</v>
      </c>
      <c r="B92" s="31">
        <v>2.75</v>
      </c>
      <c r="C92" s="31">
        <v>2</v>
      </c>
      <c r="D92" s="31">
        <v>1.0129999999999999</v>
      </c>
      <c r="E92" s="31">
        <v>1.161</v>
      </c>
      <c r="F92" s="50">
        <v>1.468</v>
      </c>
      <c r="G92" s="31">
        <v>0.36165162453712296</v>
      </c>
      <c r="H92" s="31">
        <v>0.36327841696935204</v>
      </c>
      <c r="I92" s="31">
        <v>0.34967771711755607</v>
      </c>
      <c r="J92" s="31">
        <v>0.3962116313958341</v>
      </c>
      <c r="K92" s="50">
        <v>0.37124408263220238</v>
      </c>
      <c r="L92" s="31">
        <v>0.24182617243095555</v>
      </c>
      <c r="M92" s="31">
        <v>0.86088119621800308</v>
      </c>
      <c r="N92" s="31">
        <v>0.52069328426720796</v>
      </c>
      <c r="O92" s="31">
        <v>0.33281457357399757</v>
      </c>
      <c r="P92" s="50">
        <v>0.46851006041359944</v>
      </c>
    </row>
    <row r="93" spans="1:18" ht="14.25">
      <c r="A93" s="2" t="s">
        <v>171</v>
      </c>
      <c r="B93" s="31">
        <v>-0.13300000000000001</v>
      </c>
      <c r="C93" s="31">
        <v>0.01</v>
      </c>
      <c r="D93" s="31">
        <v>9.7000000000000003E-2</v>
      </c>
      <c r="E93" s="31">
        <v>3.2000000000000001E-2</v>
      </c>
      <c r="F93" s="50">
        <v>-3.0000000000000001E-3</v>
      </c>
      <c r="G93" s="31">
        <v>-9.760288996819487E-2</v>
      </c>
      <c r="H93" s="31">
        <v>-0.1922133179721586</v>
      </c>
      <c r="I93" s="31">
        <v>0</v>
      </c>
      <c r="J93" s="31">
        <v>0.13100000000000001</v>
      </c>
      <c r="K93" s="50">
        <v>-2.0542770084888955E-2</v>
      </c>
      <c r="L93" s="31">
        <v>-7.859625778149841E-2</v>
      </c>
      <c r="M93" s="31">
        <v>0</v>
      </c>
      <c r="N93" s="31">
        <v>6.0469346972689672E-2</v>
      </c>
      <c r="O93" s="31">
        <v>0.13364189182333119</v>
      </c>
      <c r="P93" s="50">
        <v>3.9679120946845885E-2</v>
      </c>
    </row>
    <row r="94" spans="1:18" ht="14.25">
      <c r="A94" s="51" t="s">
        <v>170</v>
      </c>
      <c r="B94" s="31">
        <v>-0.13300000000000001</v>
      </c>
      <c r="C94" s="31">
        <v>0.01</v>
      </c>
      <c r="D94" s="31">
        <v>9.7000000000000003E-2</v>
      </c>
      <c r="E94" s="31">
        <v>3.2000000000000001E-2</v>
      </c>
      <c r="F94" s="50">
        <v>-3.0000000000000001E-3</v>
      </c>
      <c r="G94" s="31">
        <f t="shared" ref="G94:P94" si="6">+G90/G81</f>
        <v>-0.1</v>
      </c>
      <c r="H94" s="31">
        <f t="shared" si="6"/>
        <v>-0.19047619047619047</v>
      </c>
      <c r="I94" s="31">
        <f t="shared" si="6"/>
        <v>0</v>
      </c>
      <c r="J94" s="31">
        <f t="shared" si="6"/>
        <v>0.11764705882352941</v>
      </c>
      <c r="K94" s="50">
        <f t="shared" si="6"/>
        <v>-2.0618556701030927E-2</v>
      </c>
      <c r="L94" s="31">
        <f t="shared" si="6"/>
        <v>-9.1999999999999998E-2</v>
      </c>
      <c r="M94" s="31">
        <f t="shared" si="6"/>
        <v>-1.0943205128205128E-2</v>
      </c>
      <c r="N94" s="31">
        <f t="shared" si="6"/>
        <v>5.8366382942424466E-2</v>
      </c>
      <c r="O94" s="31">
        <v>0.13122056253226022</v>
      </c>
      <c r="P94" s="50">
        <f t="shared" si="6"/>
        <v>4.2740938467167755E-2</v>
      </c>
    </row>
    <row r="95" spans="1:18">
      <c r="B95" s="9"/>
      <c r="C95" s="9"/>
      <c r="D95" s="9"/>
      <c r="E95" s="9"/>
      <c r="F95" s="48"/>
      <c r="G95" s="9"/>
      <c r="H95" s="9"/>
      <c r="I95" s="9"/>
      <c r="J95" s="9"/>
      <c r="K95" s="48"/>
      <c r="L95" s="9"/>
      <c r="M95" s="9"/>
      <c r="N95" s="9"/>
    </row>
    <row r="96" spans="1:18">
      <c r="B96" s="9"/>
      <c r="C96" s="9"/>
      <c r="D96" s="9"/>
      <c r="E96" s="9"/>
      <c r="F96" s="48"/>
      <c r="G96" s="9"/>
      <c r="H96" s="9"/>
      <c r="I96" s="9"/>
      <c r="J96" s="9"/>
      <c r="K96" s="48"/>
      <c r="L96" s="9"/>
      <c r="M96" s="9"/>
      <c r="N96" s="9"/>
    </row>
  </sheetData>
  <pageMargins left="0.7" right="0.7" top="0.75" bottom="0.75" header="0.3" footer="0.3"/>
  <pageSetup paperSize="9" scale="64" orientation="landscape" r:id="rId1"/>
  <rowBreaks count="1" manualBreakCount="1">
    <brk id="37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5A2D5-7DDC-4993-97B6-03F837DEF300}">
  <dimension ref="A1:P50"/>
  <sheetViews>
    <sheetView showGridLines="0"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32" sqref="A32"/>
    </sheetView>
  </sheetViews>
  <sheetFormatPr defaultRowHeight="15" outlineLevelCol="1"/>
  <cols>
    <col min="1" max="1" width="52.125" style="2" bestFit="1" customWidth="1"/>
    <col min="2" max="5" width="9" style="2" outlineLevel="1"/>
    <col min="6" max="6" width="9" style="3"/>
    <col min="7" max="10" width="9" style="2" outlineLevel="1"/>
    <col min="11" max="11" width="9" style="3"/>
    <col min="12" max="14" width="9" style="2"/>
    <col min="15" max="15" width="9" style="2" outlineLevel="1"/>
    <col min="16" max="16" width="9" style="3"/>
    <col min="17" max="16384" width="9" style="2"/>
  </cols>
  <sheetData>
    <row r="1" spans="1:16" ht="24" customHeight="1">
      <c r="A1" s="1" t="s">
        <v>132</v>
      </c>
    </row>
    <row r="2" spans="1:16" ht="24" customHeight="1">
      <c r="A2" s="1" t="s">
        <v>129</v>
      </c>
    </row>
    <row r="3" spans="1:16" s="8" customFormat="1" ht="20.25" customHeight="1">
      <c r="A3" s="4" t="s">
        <v>130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6" t="s">
        <v>14</v>
      </c>
      <c r="L3" s="5" t="s">
        <v>50</v>
      </c>
      <c r="M3" s="5" t="s">
        <v>138</v>
      </c>
      <c r="N3" s="5" t="s">
        <v>159</v>
      </c>
      <c r="O3" s="5" t="s">
        <v>163</v>
      </c>
      <c r="P3" s="6" t="s">
        <v>164</v>
      </c>
    </row>
    <row r="4" spans="1:16" s="8" customFormat="1" ht="16.5" customHeight="1">
      <c r="A4" s="61"/>
      <c r="B4" s="62"/>
      <c r="C4" s="62"/>
      <c r="D4" s="62"/>
      <c r="E4" s="62"/>
      <c r="F4" s="6"/>
      <c r="G4" s="62"/>
      <c r="H4" s="62"/>
      <c r="I4" s="62"/>
      <c r="J4" s="62"/>
      <c r="K4" s="6"/>
      <c r="L4" s="62"/>
      <c r="M4" s="62"/>
      <c r="N4" s="62"/>
      <c r="O4" s="62"/>
      <c r="P4" s="6"/>
    </row>
    <row r="5" spans="1:16" s="3" customFormat="1">
      <c r="A5" s="3" t="s">
        <v>27</v>
      </c>
      <c r="B5" s="48">
        <v>17</v>
      </c>
      <c r="C5" s="48">
        <v>27</v>
      </c>
      <c r="D5" s="48">
        <v>72</v>
      </c>
      <c r="E5" s="48">
        <v>48</v>
      </c>
      <c r="F5" s="10">
        <v>164</v>
      </c>
      <c r="G5" s="48">
        <v>28</v>
      </c>
      <c r="H5" s="48">
        <v>23</v>
      </c>
      <c r="I5" s="48">
        <v>35</v>
      </c>
      <c r="J5" s="48">
        <v>64</v>
      </c>
      <c r="K5" s="10">
        <v>150</v>
      </c>
      <c r="L5" s="48">
        <v>41</v>
      </c>
      <c r="M5" s="48">
        <v>42.302516450399878</v>
      </c>
      <c r="N5" s="48">
        <v>58.140673862500329</v>
      </c>
      <c r="O5" s="48">
        <f>+P5-L5-M5-N5</f>
        <v>87.581487244199963</v>
      </c>
      <c r="P5" s="10">
        <v>229.02467755710018</v>
      </c>
    </row>
    <row r="6" spans="1:16">
      <c r="B6" s="9"/>
      <c r="C6" s="9"/>
      <c r="D6" s="9"/>
      <c r="E6" s="9"/>
      <c r="F6" s="10"/>
      <c r="G6" s="9"/>
      <c r="H6" s="9"/>
      <c r="I6" s="9"/>
      <c r="J6" s="9"/>
      <c r="K6" s="10"/>
      <c r="L6" s="9"/>
      <c r="M6" s="9"/>
      <c r="N6" s="9"/>
      <c r="O6" s="9"/>
      <c r="P6" s="10"/>
    </row>
    <row r="7" spans="1:16" ht="14.25">
      <c r="A7" s="2" t="s">
        <v>28</v>
      </c>
      <c r="B7" s="9">
        <v>28</v>
      </c>
      <c r="C7" s="9">
        <v>30</v>
      </c>
      <c r="D7" s="9">
        <v>33</v>
      </c>
      <c r="E7" s="9">
        <v>44</v>
      </c>
      <c r="F7" s="41">
        <v>135</v>
      </c>
      <c r="G7" s="9">
        <v>34</v>
      </c>
      <c r="H7" s="9">
        <v>42</v>
      </c>
      <c r="I7" s="9">
        <v>44</v>
      </c>
      <c r="J7" s="9">
        <v>46</v>
      </c>
      <c r="K7" s="41">
        <v>166</v>
      </c>
      <c r="L7" s="9">
        <v>45</v>
      </c>
      <c r="M7" s="9">
        <v>47.630093456199987</v>
      </c>
      <c r="N7" s="9">
        <v>43.927180005099991</v>
      </c>
      <c r="O7" s="9">
        <f>+P7-L7-M7-N7</f>
        <v>51.442726538700022</v>
      </c>
      <c r="P7" s="41">
        <v>188</v>
      </c>
    </row>
    <row r="8" spans="1:16" ht="14.25">
      <c r="A8" s="2" t="s">
        <v>168</v>
      </c>
      <c r="B8" s="9">
        <v>0</v>
      </c>
      <c r="C8" s="9">
        <v>0</v>
      </c>
      <c r="D8" s="9">
        <v>0</v>
      </c>
      <c r="E8" s="9">
        <v>1</v>
      </c>
      <c r="F8" s="41">
        <v>1</v>
      </c>
      <c r="G8" s="9">
        <v>0</v>
      </c>
      <c r="H8" s="9">
        <v>8</v>
      </c>
      <c r="I8" s="9">
        <v>0</v>
      </c>
      <c r="J8" s="9">
        <v>1</v>
      </c>
      <c r="K8" s="41">
        <v>9</v>
      </c>
      <c r="L8" s="9">
        <v>4</v>
      </c>
      <c r="M8" s="9">
        <v>5.1910186200000004</v>
      </c>
      <c r="N8" s="9">
        <v>2.4104149500000016</v>
      </c>
      <c r="O8" s="9">
        <f t="shared" ref="O8:O9" si="0">+P8-L8-M8-N8</f>
        <v>1.398566429999998</v>
      </c>
      <c r="P8" s="41">
        <v>13</v>
      </c>
    </row>
    <row r="9" spans="1:16" ht="14.25">
      <c r="A9" s="2" t="s">
        <v>29</v>
      </c>
      <c r="B9" s="9">
        <v>1</v>
      </c>
      <c r="C9" s="2">
        <v>1</v>
      </c>
      <c r="D9" s="2">
        <v>-41</v>
      </c>
      <c r="E9" s="2">
        <v>-4</v>
      </c>
      <c r="F9" s="63">
        <v>-43</v>
      </c>
      <c r="G9" s="2">
        <v>3</v>
      </c>
      <c r="H9" s="2">
        <v>7</v>
      </c>
      <c r="I9" s="2">
        <v>2</v>
      </c>
      <c r="J9" s="2">
        <v>2</v>
      </c>
      <c r="K9" s="63">
        <v>15</v>
      </c>
      <c r="L9" s="2">
        <v>-3</v>
      </c>
      <c r="M9" s="9">
        <v>1.4448684543000003</v>
      </c>
      <c r="N9" s="9">
        <v>-5.8161409010999954</v>
      </c>
      <c r="O9" s="9">
        <f t="shared" si="0"/>
        <v>-5.6287275532000045</v>
      </c>
      <c r="P9" s="63">
        <v>-13</v>
      </c>
    </row>
    <row r="10" spans="1:16" s="3" customFormat="1">
      <c r="A10" s="44" t="s">
        <v>169</v>
      </c>
      <c r="B10" s="64">
        <v>46</v>
      </c>
      <c r="C10" s="64">
        <v>57</v>
      </c>
      <c r="D10" s="64">
        <v>64</v>
      </c>
      <c r="E10" s="64">
        <v>88</v>
      </c>
      <c r="F10" s="65">
        <v>256</v>
      </c>
      <c r="G10" s="64">
        <v>66</v>
      </c>
      <c r="H10" s="64">
        <v>80</v>
      </c>
      <c r="I10" s="64">
        <v>80</v>
      </c>
      <c r="J10" s="64">
        <v>113</v>
      </c>
      <c r="K10" s="65">
        <v>339</v>
      </c>
      <c r="L10" s="64">
        <v>87</v>
      </c>
      <c r="M10" s="64">
        <v>96.56849698089988</v>
      </c>
      <c r="N10" s="64">
        <v>98.662127916500324</v>
      </c>
      <c r="O10" s="64">
        <f>+SUM(O5:O9)</f>
        <v>134.79405265969996</v>
      </c>
      <c r="P10" s="65">
        <v>417.73293749580017</v>
      </c>
    </row>
    <row r="11" spans="1:16">
      <c r="B11" s="12"/>
      <c r="C11" s="12"/>
      <c r="D11" s="12"/>
      <c r="E11" s="12"/>
      <c r="F11" s="29"/>
      <c r="G11" s="12"/>
      <c r="H11" s="12"/>
      <c r="I11" s="12"/>
      <c r="J11" s="12"/>
      <c r="K11" s="29"/>
      <c r="L11" s="12"/>
      <c r="M11" s="12"/>
      <c r="N11" s="12"/>
      <c r="O11" s="12"/>
      <c r="P11" s="29"/>
    </row>
    <row r="12" spans="1:16" ht="14.25">
      <c r="A12" s="2" t="s">
        <v>30</v>
      </c>
      <c r="B12" s="12">
        <v>-14.3177852128</v>
      </c>
      <c r="C12" s="12">
        <v>-3.4563189143000028</v>
      </c>
      <c r="D12" s="12">
        <v>-3.6284665166999983</v>
      </c>
      <c r="E12" s="12">
        <v>-11.699297489500008</v>
      </c>
      <c r="F12" s="66">
        <v>-33.101868133300009</v>
      </c>
      <c r="G12" s="12">
        <v>-25.133942093999991</v>
      </c>
      <c r="H12" s="12">
        <v>-4.8660932670000117</v>
      </c>
      <c r="I12" s="12">
        <v>-6.5946454799992574E-2</v>
      </c>
      <c r="J12" s="12">
        <v>-11.486913453321307</v>
      </c>
      <c r="K12" s="66">
        <v>-40</v>
      </c>
      <c r="L12" s="12">
        <v>-31</v>
      </c>
      <c r="M12" s="12">
        <v>-7.4842006204999976</v>
      </c>
      <c r="N12" s="12">
        <v>-2.4104149500000012</v>
      </c>
      <c r="O12" s="12">
        <f>+P12-L12-M12-N12</f>
        <v>-17.070221977800013</v>
      </c>
      <c r="P12" s="66">
        <v>-57.964837548300011</v>
      </c>
    </row>
    <row r="13" spans="1:16" ht="14.25">
      <c r="A13" s="2" t="s">
        <v>168</v>
      </c>
      <c r="B13" s="12">
        <v>0</v>
      </c>
      <c r="C13" s="12">
        <v>0</v>
      </c>
      <c r="D13" s="12">
        <v>0</v>
      </c>
      <c r="E13" s="12">
        <v>-1</v>
      </c>
      <c r="F13" s="66">
        <v>-1</v>
      </c>
      <c r="G13" s="12">
        <v>0</v>
      </c>
      <c r="H13" s="12">
        <v>-8</v>
      </c>
      <c r="I13" s="12">
        <v>0</v>
      </c>
      <c r="J13" s="12">
        <v>-1</v>
      </c>
      <c r="K13" s="66">
        <v>-9</v>
      </c>
      <c r="L13" s="12">
        <v>-4</v>
      </c>
      <c r="M13" s="12">
        <v>-5.1910186200000004</v>
      </c>
      <c r="N13" s="12">
        <v>-5.6586685506999901</v>
      </c>
      <c r="O13" s="12">
        <f>+P13-L13-M13-N13</f>
        <v>1.7174984886999898</v>
      </c>
      <c r="P13" s="66">
        <v>-13.132188682000001</v>
      </c>
    </row>
    <row r="14" spans="1:16" ht="14.25">
      <c r="A14" s="2" t="s">
        <v>31</v>
      </c>
      <c r="B14" s="12">
        <v>19.795471987300044</v>
      </c>
      <c r="C14" s="25">
        <v>54.685791777399984</v>
      </c>
      <c r="D14" s="12">
        <v>-15.292755516696765</v>
      </c>
      <c r="E14" s="12">
        <v>-22.071925062291243</v>
      </c>
      <c r="F14" s="66">
        <v>37.116583185712024</v>
      </c>
      <c r="G14" s="27">
        <v>8.0225563986004857</v>
      </c>
      <c r="H14" s="12">
        <v>10.872249136234277</v>
      </c>
      <c r="I14" s="12">
        <v>-21.323390082669295</v>
      </c>
      <c r="J14" s="12">
        <v>-39.090681720172483</v>
      </c>
      <c r="K14" s="66">
        <v>-41.519266268007016</v>
      </c>
      <c r="L14" s="12">
        <v>27</v>
      </c>
      <c r="M14" s="12">
        <v>-24.099505504313942</v>
      </c>
      <c r="N14" s="12">
        <v>10.970273399808937</v>
      </c>
      <c r="O14" s="12">
        <f>+P14-L14-M14-N14</f>
        <v>-33.562675161754868</v>
      </c>
      <c r="P14" s="66">
        <v>-19.691907266259875</v>
      </c>
    </row>
    <row r="15" spans="1:16" s="3" customFormat="1">
      <c r="A15" s="44" t="s">
        <v>32</v>
      </c>
      <c r="B15" s="64">
        <v>50.971840303500187</v>
      </c>
      <c r="C15" s="48">
        <v>108.96225287119967</v>
      </c>
      <c r="D15" s="64">
        <v>45.46844130680342</v>
      </c>
      <c r="E15" s="64">
        <v>53.777781947708377</v>
      </c>
      <c r="F15" s="65">
        <v>259.18031642921164</v>
      </c>
      <c r="G15" s="67">
        <v>49.21865771770058</v>
      </c>
      <c r="H15" s="64">
        <v>77.251836796234215</v>
      </c>
      <c r="I15" s="64">
        <v>59.272149527730448</v>
      </c>
      <c r="J15" s="64">
        <v>61.632105523906702</v>
      </c>
      <c r="K15" s="65">
        <v>249</v>
      </c>
      <c r="L15" s="64">
        <v>80</v>
      </c>
      <c r="M15" s="64">
        <v>59.793772235986722</v>
      </c>
      <c r="N15" s="64">
        <v>101.56331781560866</v>
      </c>
      <c r="O15" s="64">
        <f>+SUM(O10:O14)</f>
        <v>85.878654008845061</v>
      </c>
      <c r="P15" s="65">
        <v>326.94400399924035</v>
      </c>
    </row>
    <row r="16" spans="1:16">
      <c r="B16" s="12"/>
      <c r="C16" s="12"/>
      <c r="D16" s="12"/>
      <c r="E16" s="12"/>
      <c r="F16" s="29"/>
      <c r="G16" s="12"/>
      <c r="H16" s="12"/>
      <c r="I16" s="12"/>
      <c r="J16" s="12"/>
      <c r="K16" s="29"/>
      <c r="L16" s="12"/>
      <c r="M16" s="12"/>
      <c r="N16" s="12"/>
      <c r="O16" s="12"/>
      <c r="P16" s="29"/>
    </row>
    <row r="17" spans="1:16" ht="14.25">
      <c r="A17" s="2" t="s">
        <v>33</v>
      </c>
      <c r="B17" s="12">
        <v>-7.2634456601000323</v>
      </c>
      <c r="C17" s="12">
        <v>-3.3328997044999684</v>
      </c>
      <c r="D17" s="12">
        <v>-5.5045862653000128</v>
      </c>
      <c r="E17" s="12">
        <v>-4.5388216934000045</v>
      </c>
      <c r="F17" s="66">
        <v>-20.63975332330002</v>
      </c>
      <c r="G17" s="12">
        <v>-6.2316291310999965</v>
      </c>
      <c r="H17" s="12">
        <v>-4.1733296707001299</v>
      </c>
      <c r="I17" s="12">
        <v>-4.6611803981998738</v>
      </c>
      <c r="J17" s="12">
        <v>-4.9584231402000354</v>
      </c>
      <c r="K17" s="66">
        <v>-20.024562340200038</v>
      </c>
      <c r="L17" s="12">
        <v>-4</v>
      </c>
      <c r="M17" s="12">
        <v>-3.5811378774999376</v>
      </c>
      <c r="N17" s="12">
        <v>-5.4277254352000783</v>
      </c>
      <c r="O17" s="12">
        <f>+P17-L17-M17-N17</f>
        <v>-7.4513373417001239</v>
      </c>
      <c r="P17" s="66">
        <v>-20.46020065440014</v>
      </c>
    </row>
    <row r="18" spans="1:16" ht="14.25">
      <c r="A18" s="2" t="s">
        <v>162</v>
      </c>
      <c r="B18" s="12">
        <v>-5.6755664554999949</v>
      </c>
      <c r="C18" s="12">
        <v>-9.3088198321999958</v>
      </c>
      <c r="D18" s="12">
        <v>-8.1753511336999907</v>
      </c>
      <c r="E18" s="12">
        <v>-6.0766224099999979</v>
      </c>
      <c r="F18" s="66">
        <v>-29.23635983139998</v>
      </c>
      <c r="G18" s="12">
        <v>-4.0037739464000071</v>
      </c>
      <c r="H18" s="12">
        <v>-4.3634640283000063</v>
      </c>
      <c r="I18" s="12">
        <v>-4.2527695451999996</v>
      </c>
      <c r="J18" s="12">
        <v>-14.016842967299979</v>
      </c>
      <c r="K18" s="66">
        <v>-26.636850487199993</v>
      </c>
      <c r="L18" s="12">
        <v>-9</v>
      </c>
      <c r="M18" s="12">
        <v>-15.145613794299976</v>
      </c>
      <c r="N18" s="12">
        <v>-11.659863237900002</v>
      </c>
      <c r="O18" s="12">
        <f t="shared" ref="O18:O21" si="1">+P18-L18-M18-N18</f>
        <v>-19.679659168700081</v>
      </c>
      <c r="P18" s="66">
        <v>-55.485136200900058</v>
      </c>
    </row>
    <row r="19" spans="1:16" ht="14.25">
      <c r="A19" s="2" t="s">
        <v>34</v>
      </c>
      <c r="B19" s="12">
        <v>-2.1981938516319106</v>
      </c>
      <c r="C19" s="12">
        <v>-29.024752641954802</v>
      </c>
      <c r="D19" s="12">
        <v>-24.410180023100001</v>
      </c>
      <c r="E19" s="12">
        <v>-52.800830522099993</v>
      </c>
      <c r="F19" s="66">
        <v>-108.4339570387867</v>
      </c>
      <c r="G19" s="12">
        <v>-29.398542976600002</v>
      </c>
      <c r="H19" s="12">
        <v>-195.74306256928907</v>
      </c>
      <c r="I19" s="12">
        <v>-39.1665993875</v>
      </c>
      <c r="J19" s="12">
        <v>-12.114966144843587</v>
      </c>
      <c r="K19" s="66">
        <v>-276.42317107823266</v>
      </c>
      <c r="L19" s="12">
        <v>-107</v>
      </c>
      <c r="M19" s="12">
        <v>-6.6266527328000002</v>
      </c>
      <c r="N19" s="12">
        <v>-47.814764633511999</v>
      </c>
      <c r="O19" s="12">
        <f t="shared" si="1"/>
        <v>-75.558582633688005</v>
      </c>
      <c r="P19" s="66">
        <v>-237</v>
      </c>
    </row>
    <row r="20" spans="1:16" ht="14.25">
      <c r="A20" s="2" t="s">
        <v>35</v>
      </c>
      <c r="B20" s="12">
        <v>-5.4849808329998986</v>
      </c>
      <c r="C20" s="12">
        <v>-4.5978209988999987</v>
      </c>
      <c r="D20" s="12">
        <v>52.182385513200025</v>
      </c>
      <c r="E20" s="12">
        <v>6.592317819400046</v>
      </c>
      <c r="F20" s="66">
        <v>48.691901500700176</v>
      </c>
      <c r="G20" s="12">
        <v>-4.0973387927000422</v>
      </c>
      <c r="H20" s="12">
        <v>13.009365435300012</v>
      </c>
      <c r="I20" s="12">
        <v>-20.750315596000135</v>
      </c>
      <c r="J20" s="12">
        <v>9.1715486077332926</v>
      </c>
      <c r="K20" s="66">
        <v>-2.6667403456668737</v>
      </c>
      <c r="L20" s="12">
        <v>15</v>
      </c>
      <c r="M20" s="12">
        <v>-1.5471165464001204</v>
      </c>
      <c r="N20" s="12">
        <v>-23.4662641418</v>
      </c>
      <c r="O20" s="12">
        <f t="shared" si="1"/>
        <v>6.0133806882001188</v>
      </c>
      <c r="P20" s="66">
        <v>-4</v>
      </c>
    </row>
    <row r="21" spans="1:16" ht="14.25">
      <c r="A21" s="2" t="s">
        <v>36</v>
      </c>
      <c r="B21" s="12">
        <v>2.0003452652000049</v>
      </c>
      <c r="C21" s="12">
        <v>2.8842360200999981</v>
      </c>
      <c r="D21" s="12">
        <v>-1.9695078227000014</v>
      </c>
      <c r="E21" s="12">
        <v>-1.9690104190999973</v>
      </c>
      <c r="F21" s="66">
        <v>0.94606304350000414</v>
      </c>
      <c r="G21" s="12">
        <v>2.9929175049000007</v>
      </c>
      <c r="H21" s="12">
        <v>3.3891038542999996</v>
      </c>
      <c r="I21" s="12">
        <v>4.7525565774</v>
      </c>
      <c r="J21" s="12">
        <v>-3.8121476705000021</v>
      </c>
      <c r="K21" s="66">
        <v>7.3224302660999978</v>
      </c>
      <c r="L21" s="12">
        <v>0</v>
      </c>
      <c r="M21" s="12">
        <v>-2.6505208864000025</v>
      </c>
      <c r="N21" s="12">
        <v>-1.1432662515999901</v>
      </c>
      <c r="O21" s="12">
        <f t="shared" si="1"/>
        <v>5.7937871379999928</v>
      </c>
      <c r="P21" s="66">
        <v>2</v>
      </c>
    </row>
    <row r="22" spans="1:16" s="3" customFormat="1">
      <c r="A22" s="44" t="s">
        <v>37</v>
      </c>
      <c r="B22" s="64">
        <v>-18.621841535031834</v>
      </c>
      <c r="C22" s="64">
        <v>-43.380057157454765</v>
      </c>
      <c r="D22" s="64">
        <v>12.122760268400016</v>
      </c>
      <c r="E22" s="64">
        <v>-58.792967225199945</v>
      </c>
      <c r="F22" s="65">
        <v>-108.67210564928652</v>
      </c>
      <c r="G22" s="64">
        <v>-40.738367341900044</v>
      </c>
      <c r="H22" s="64">
        <v>-187.88138697868916</v>
      </c>
      <c r="I22" s="64">
        <v>-64.078308349500006</v>
      </c>
      <c r="J22" s="64">
        <v>-25.730831315110315</v>
      </c>
      <c r="K22" s="65">
        <v>-319</v>
      </c>
      <c r="L22" s="64">
        <v>-105</v>
      </c>
      <c r="M22" s="64">
        <v>-29.600440687400035</v>
      </c>
      <c r="N22" s="64">
        <v>-89.511883700012064</v>
      </c>
      <c r="O22" s="64">
        <v>-91</v>
      </c>
      <c r="P22" s="65">
        <v>-315</v>
      </c>
    </row>
    <row r="23" spans="1:16">
      <c r="A23" s="13"/>
      <c r="B23" s="25"/>
      <c r="C23" s="25"/>
      <c r="D23" s="25"/>
      <c r="E23" s="25"/>
      <c r="F23" s="42"/>
      <c r="G23" s="25"/>
      <c r="H23" s="25"/>
      <c r="I23" s="25"/>
      <c r="J23" s="25"/>
      <c r="K23" s="42"/>
      <c r="L23" s="25"/>
      <c r="M23" s="25"/>
      <c r="N23" s="25"/>
      <c r="O23" s="25"/>
      <c r="P23" s="42"/>
    </row>
    <row r="24" spans="1:16" s="3" customFormat="1">
      <c r="A24" s="3" t="s">
        <v>38</v>
      </c>
      <c r="B24" s="68">
        <v>32.849998768468367</v>
      </c>
      <c r="C24" s="68">
        <v>65.082195713744909</v>
      </c>
      <c r="D24" s="68">
        <v>57.591201575203435</v>
      </c>
      <c r="E24" s="68">
        <v>-5.0151852774915682</v>
      </c>
      <c r="F24" s="37">
        <v>150.49821077992499</v>
      </c>
      <c r="G24" s="68">
        <v>8.480290375800541</v>
      </c>
      <c r="H24" s="68">
        <v>-110.62955018245498</v>
      </c>
      <c r="I24" s="68">
        <v>-4.8061588217695608</v>
      </c>
      <c r="J24" s="68">
        <v>35.901274208796387</v>
      </c>
      <c r="K24" s="37">
        <v>-70</v>
      </c>
      <c r="L24" s="68">
        <v>-25</v>
      </c>
      <c r="M24" s="68">
        <v>30.193331548786617</v>
      </c>
      <c r="N24" s="68">
        <v>11.504434115596595</v>
      </c>
      <c r="O24" s="68">
        <f>+O22+O15</f>
        <v>-5.1213459911549393</v>
      </c>
      <c r="P24" s="37">
        <v>12</v>
      </c>
    </row>
    <row r="25" spans="1:16">
      <c r="B25" s="12"/>
      <c r="C25" s="12"/>
      <c r="D25" s="12"/>
      <c r="E25" s="12"/>
      <c r="F25" s="29"/>
      <c r="G25" s="12"/>
      <c r="H25" s="12"/>
      <c r="I25" s="12"/>
      <c r="J25" s="12"/>
      <c r="K25" s="29"/>
      <c r="L25" s="12"/>
      <c r="M25" s="12"/>
      <c r="N25" s="12"/>
      <c r="O25" s="12"/>
      <c r="P25" s="29"/>
    </row>
    <row r="26" spans="1:16" ht="14.25">
      <c r="A26" s="2" t="s">
        <v>39</v>
      </c>
      <c r="B26" s="12">
        <v>-14.4</v>
      </c>
      <c r="C26" s="12">
        <v>-12.79</v>
      </c>
      <c r="D26" s="12">
        <v>-18.042000000000002</v>
      </c>
      <c r="E26" s="12">
        <v>-20.904</v>
      </c>
      <c r="F26" s="66">
        <v>-66.135999999999996</v>
      </c>
      <c r="G26" s="12">
        <v>-19.156158975100038</v>
      </c>
      <c r="H26" s="12">
        <v>-21.421776704999981</v>
      </c>
      <c r="I26" s="12">
        <v>-20.296420983300013</v>
      </c>
      <c r="J26" s="12">
        <v>-22.627727018000023</v>
      </c>
      <c r="K26" s="66">
        <v>-83.502083681400052</v>
      </c>
      <c r="L26" s="12">
        <v>-22</v>
      </c>
      <c r="M26" s="12">
        <v>-22.946340007600025</v>
      </c>
      <c r="N26" s="12">
        <v>-21.029653091800039</v>
      </c>
      <c r="O26" s="12">
        <f>+P26-L26-M26-N26</f>
        <v>-32.063107724399899</v>
      </c>
      <c r="P26" s="66">
        <v>-98.03910082379997</v>
      </c>
    </row>
    <row r="27" spans="1:16" ht="14.25">
      <c r="A27" s="2" t="s">
        <v>40</v>
      </c>
      <c r="B27" s="12">
        <v>-1.2878267996999999</v>
      </c>
      <c r="C27" s="12">
        <v>40.004701080899991</v>
      </c>
      <c r="D27" s="12">
        <v>20.447561674700001</v>
      </c>
      <c r="E27" s="12">
        <v>12.378002583700008</v>
      </c>
      <c r="F27" s="66">
        <v>71.542438539599999</v>
      </c>
      <c r="G27" s="12">
        <v>-3.0482849117000046</v>
      </c>
      <c r="H27" s="12">
        <v>8.2618815138000059</v>
      </c>
      <c r="I27" s="12">
        <v>-6.7672253668000026</v>
      </c>
      <c r="J27" s="12">
        <v>36.574128799199997</v>
      </c>
      <c r="K27" s="66">
        <v>35.020500034499996</v>
      </c>
      <c r="L27" s="12">
        <v>96</v>
      </c>
      <c r="M27" s="12">
        <v>-10.1017638205</v>
      </c>
      <c r="N27" s="12">
        <v>-4.9739078026000101</v>
      </c>
      <c r="O27" s="12">
        <f t="shared" ref="O27:O33" si="2">+P27-L27-M27-N27</f>
        <v>42.673733472500004</v>
      </c>
      <c r="P27" s="66">
        <v>123.5980618494</v>
      </c>
    </row>
    <row r="28" spans="1:16" ht="14.25">
      <c r="A28" s="2" t="s">
        <v>49</v>
      </c>
      <c r="B28" s="12">
        <v>-0.12844138990000051</v>
      </c>
      <c r="C28" s="12">
        <v>-1.3870526517999997</v>
      </c>
      <c r="D28" s="12">
        <v>-0.53918466510001595</v>
      </c>
      <c r="E28" s="12">
        <v>7.4607763503999998</v>
      </c>
      <c r="F28" s="66">
        <v>5.406097643599983</v>
      </c>
      <c r="G28" s="12">
        <v>3.1788165372000003</v>
      </c>
      <c r="H28" s="12">
        <v>-7.184904347599999</v>
      </c>
      <c r="I28" s="12">
        <v>-1.8993353831000008</v>
      </c>
      <c r="J28" s="12">
        <v>-14.407258483200003</v>
      </c>
      <c r="K28" s="66">
        <v>-21</v>
      </c>
      <c r="L28" s="12">
        <v>-7</v>
      </c>
      <c r="M28" s="12">
        <v>-0.28967975159999809</v>
      </c>
      <c r="N28" s="12">
        <v>-5.3470927277000042</v>
      </c>
      <c r="O28" s="12">
        <f t="shared" si="2"/>
        <v>-8.3632275206999971</v>
      </c>
      <c r="P28" s="66">
        <v>-21</v>
      </c>
    </row>
    <row r="29" spans="1:16" ht="14.25">
      <c r="A29" s="2" t="s">
        <v>41</v>
      </c>
      <c r="B29" s="12">
        <v>-2.8399999999999996E-4</v>
      </c>
      <c r="C29" s="12">
        <v>2.0100000000000001E-4</v>
      </c>
      <c r="D29" s="12">
        <v>6.5410000000000004</v>
      </c>
      <c r="E29" s="12">
        <v>4.133</v>
      </c>
      <c r="F29" s="66">
        <v>10.673916999999999</v>
      </c>
      <c r="G29" s="12">
        <v>4.4799999999999999E-4</v>
      </c>
      <c r="H29" s="12">
        <v>377.60599999999999</v>
      </c>
      <c r="I29" s="12">
        <v>4.125</v>
      </c>
      <c r="J29" s="12">
        <v>-4.5426000000000933E-4</v>
      </c>
      <c r="K29" s="66">
        <v>381.73099373999997</v>
      </c>
      <c r="L29" s="12">
        <v>0</v>
      </c>
      <c r="M29" s="12">
        <v>-1.5048999805003403E-5</v>
      </c>
      <c r="N29" s="12">
        <v>0</v>
      </c>
      <c r="O29" s="12">
        <f t="shared" si="2"/>
        <v>1.5048999805003403E-5</v>
      </c>
      <c r="P29" s="66">
        <v>0</v>
      </c>
    </row>
    <row r="30" spans="1:16" ht="14.25">
      <c r="A30" s="2" t="s">
        <v>42</v>
      </c>
      <c r="B30" s="12">
        <v>-0.69099999999999995</v>
      </c>
      <c r="C30" s="12">
        <v>-1.256</v>
      </c>
      <c r="D30" s="12">
        <v>-1.385607</v>
      </c>
      <c r="E30" s="12">
        <v>-14.280961</v>
      </c>
      <c r="F30" s="66">
        <v>-17.613568000000001</v>
      </c>
      <c r="G30" s="12">
        <v>2.81</v>
      </c>
      <c r="H30" s="12">
        <v>0.36947899999999984</v>
      </c>
      <c r="I30" s="12">
        <v>-0.81200000000000006</v>
      </c>
      <c r="J30" s="12">
        <v>0.14898900000000001</v>
      </c>
      <c r="K30" s="66">
        <v>2.5164679999999993</v>
      </c>
      <c r="L30" s="12">
        <v>0</v>
      </c>
      <c r="M30" s="12">
        <v>-0.9</v>
      </c>
      <c r="N30" s="12">
        <v>-4.5460000000000003</v>
      </c>
      <c r="O30" s="12">
        <f t="shared" si="2"/>
        <v>-6.5539999999999994</v>
      </c>
      <c r="P30" s="66">
        <v>-12</v>
      </c>
    </row>
    <row r="31" spans="1:16" ht="14.25">
      <c r="A31" s="2" t="s">
        <v>43</v>
      </c>
      <c r="B31" s="12">
        <v>12.851128816012812</v>
      </c>
      <c r="C31" s="12">
        <v>20.328171180420387</v>
      </c>
      <c r="D31" s="12">
        <v>-11.577278969337771</v>
      </c>
      <c r="E31" s="12">
        <v>-36.52424641929823</v>
      </c>
      <c r="F31" s="66">
        <v>-14.922225392202797</v>
      </c>
      <c r="G31" s="12">
        <v>-11.789785162104</v>
      </c>
      <c r="H31" s="12">
        <v>-10.923337093810321</v>
      </c>
      <c r="I31" s="12">
        <v>-41.200733948080007</v>
      </c>
      <c r="J31" s="12">
        <v>-10.666614885891027</v>
      </c>
      <c r="K31" s="66">
        <v>-74.58047108988535</v>
      </c>
      <c r="L31" s="12">
        <v>-2</v>
      </c>
      <c r="M31" s="12">
        <v>14.61940848745</v>
      </c>
      <c r="N31" s="12">
        <v>-3.4262306242048997</v>
      </c>
      <c r="O31" s="12">
        <f t="shared" si="2"/>
        <v>-5.1931778632451007</v>
      </c>
      <c r="P31" s="66">
        <v>4</v>
      </c>
    </row>
    <row r="32" spans="1:16" ht="14.25">
      <c r="A32" s="2" t="s">
        <v>157</v>
      </c>
      <c r="B32" s="12">
        <v>0</v>
      </c>
      <c r="C32" s="12">
        <v>0</v>
      </c>
      <c r="D32" s="12">
        <v>-7</v>
      </c>
      <c r="E32" s="12">
        <v>0</v>
      </c>
      <c r="F32" s="66">
        <v>-7</v>
      </c>
      <c r="G32" s="12">
        <v>0</v>
      </c>
      <c r="H32" s="12">
        <v>0</v>
      </c>
      <c r="I32" s="12">
        <v>-65</v>
      </c>
      <c r="J32" s="12">
        <v>0</v>
      </c>
      <c r="K32" s="66">
        <v>-65</v>
      </c>
      <c r="L32" s="12">
        <v>0</v>
      </c>
      <c r="M32" s="12">
        <v>-18</v>
      </c>
      <c r="N32" s="12">
        <v>0</v>
      </c>
      <c r="O32" s="12">
        <f t="shared" si="2"/>
        <v>0</v>
      </c>
      <c r="P32" s="66">
        <v>-18</v>
      </c>
    </row>
    <row r="33" spans="1:16" ht="14.25">
      <c r="A33" s="2" t="s">
        <v>156</v>
      </c>
      <c r="B33" s="12">
        <v>-39.551093006199999</v>
      </c>
      <c r="C33" s="12">
        <v>-4.0734027217999991</v>
      </c>
      <c r="D33" s="12">
        <f>-7.8995250219+7</f>
        <v>-0.89952502189999972</v>
      </c>
      <c r="E33" s="12">
        <v>-1.4933426326349022</v>
      </c>
      <c r="F33" s="66">
        <f>-53.0173633825349+7</f>
        <v>-46.017363382534903</v>
      </c>
      <c r="G33" s="12">
        <v>-5.4563863266999872</v>
      </c>
      <c r="H33" s="12">
        <v>-60.410065238400016</v>
      </c>
      <c r="I33" s="12">
        <f>-70.5666432382+65</f>
        <v>-5.5666432382000011</v>
      </c>
      <c r="J33" s="12">
        <v>-7.3180258791000199</v>
      </c>
      <c r="K33" s="66">
        <f>-143.7511206824+65</f>
        <v>-78.7511206824</v>
      </c>
      <c r="L33" s="12">
        <v>-9</v>
      </c>
      <c r="M33" s="12">
        <f>-74.8112494006+18</f>
        <v>-56.811249400600005</v>
      </c>
      <c r="N33" s="12">
        <v>-1.6226995467999996</v>
      </c>
      <c r="O33" s="12">
        <f t="shared" si="2"/>
        <v>-6.5660510525999953</v>
      </c>
      <c r="P33" s="66">
        <v>-74</v>
      </c>
    </row>
    <row r="34" spans="1:16" s="3" customFormat="1">
      <c r="A34" s="44" t="s">
        <v>44</v>
      </c>
      <c r="B34" s="64">
        <v>-43.207516379787187</v>
      </c>
      <c r="C34" s="64">
        <v>40.826617887720381</v>
      </c>
      <c r="D34" s="64">
        <v>-12.455033981637788</v>
      </c>
      <c r="E34" s="64">
        <v>-49.230771117833122</v>
      </c>
      <c r="F34" s="65">
        <v>-64.066703591537717</v>
      </c>
      <c r="G34" s="64">
        <v>-33.461320177205621</v>
      </c>
      <c r="H34" s="64">
        <v>286.29724219448957</v>
      </c>
      <c r="I34" s="64">
        <v>-137.31261744698006</v>
      </c>
      <c r="J34" s="64">
        <v>-20.488765235589312</v>
      </c>
      <c r="K34" s="65">
        <v>95.034539334714594</v>
      </c>
      <c r="L34" s="64">
        <v>56</v>
      </c>
      <c r="M34" s="64">
        <v>-94.429639541749879</v>
      </c>
      <c r="N34" s="64">
        <v>-40.945122184304992</v>
      </c>
      <c r="O34" s="64">
        <f>+SUM(O26:O33)</f>
        <v>-16.065815639445184</v>
      </c>
      <c r="P34" s="65">
        <v>-94.410503606978054</v>
      </c>
    </row>
    <row r="35" spans="1:16">
      <c r="A35" s="13"/>
      <c r="B35" s="25"/>
      <c r="C35" s="25"/>
      <c r="D35" s="25"/>
      <c r="E35" s="25"/>
      <c r="F35" s="42"/>
      <c r="G35" s="25"/>
      <c r="H35" s="25"/>
      <c r="I35" s="25"/>
      <c r="J35" s="25"/>
      <c r="K35" s="42"/>
      <c r="L35" s="25"/>
      <c r="M35" s="25"/>
      <c r="N35" s="25"/>
      <c r="O35" s="25"/>
      <c r="P35" s="42"/>
    </row>
    <row r="36" spans="1:16" s="3" customFormat="1">
      <c r="A36" s="3" t="s">
        <v>45</v>
      </c>
      <c r="B36" s="68">
        <v>-10.357517611318819</v>
      </c>
      <c r="C36" s="68">
        <v>105.90881360146528</v>
      </c>
      <c r="D36" s="68">
        <v>45.136167593565645</v>
      </c>
      <c r="E36" s="68">
        <v>-54.24595639532469</v>
      </c>
      <c r="F36" s="37">
        <v>86.441507188387391</v>
      </c>
      <c r="G36" s="68">
        <v>-24.981029801405079</v>
      </c>
      <c r="H36" s="68">
        <v>175.66769201203459</v>
      </c>
      <c r="I36" s="68">
        <v>-142.11877626874963</v>
      </c>
      <c r="J36" s="68">
        <v>15.412508973207071</v>
      </c>
      <c r="K36" s="37">
        <v>25</v>
      </c>
      <c r="L36" s="68">
        <v>31</v>
      </c>
      <c r="M36" s="68">
        <v>-64.236307993163152</v>
      </c>
      <c r="N36" s="68">
        <v>-27.893688068708698</v>
      </c>
      <c r="O36" s="68">
        <f>+O24+O34</f>
        <v>-21.187161630600123</v>
      </c>
      <c r="P36" s="37">
        <v>-83</v>
      </c>
    </row>
    <row r="37" spans="1:16">
      <c r="B37" s="12"/>
      <c r="C37" s="12"/>
      <c r="D37" s="12"/>
      <c r="E37" s="12"/>
      <c r="F37" s="29"/>
      <c r="G37" s="12"/>
      <c r="H37" s="12"/>
      <c r="I37" s="12"/>
      <c r="J37" s="12"/>
      <c r="K37" s="29"/>
      <c r="L37" s="12"/>
      <c r="M37" s="12"/>
      <c r="N37" s="12"/>
      <c r="O37" s="12"/>
      <c r="P37" s="29"/>
    </row>
    <row r="38" spans="1:16" ht="14.25">
      <c r="A38" s="2" t="s">
        <v>46</v>
      </c>
      <c r="B38" s="12">
        <v>152.02135603160002</v>
      </c>
      <c r="C38" s="12">
        <v>139.9531457651812</v>
      </c>
      <c r="D38" s="12">
        <v>247.76562092074644</v>
      </c>
      <c r="E38" s="12">
        <v>292.12180801297183</v>
      </c>
      <c r="F38" s="66">
        <v>152.02135603160002</v>
      </c>
      <c r="G38" s="12">
        <v>246.42500000000001</v>
      </c>
      <c r="H38" s="12">
        <v>214.88052519859497</v>
      </c>
      <c r="I38" s="12">
        <v>392.72922091229992</v>
      </c>
      <c r="J38" s="12">
        <v>247.86771287709999</v>
      </c>
      <c r="K38" s="66">
        <v>246.42500000000001</v>
      </c>
      <c r="L38" s="12">
        <v>265</v>
      </c>
      <c r="M38" s="12">
        <v>292.36502819321129</v>
      </c>
      <c r="N38" s="12">
        <v>234.09145010556188</v>
      </c>
      <c r="O38" s="12">
        <v>207</v>
      </c>
      <c r="P38" s="66">
        <v>265</v>
      </c>
    </row>
    <row r="39" spans="1:16" ht="14.25">
      <c r="A39" s="2" t="s">
        <v>45</v>
      </c>
      <c r="B39" s="12">
        <v>-10.357517611318819</v>
      </c>
      <c r="C39" s="12">
        <v>105.90881360146528</v>
      </c>
      <c r="D39" s="12">
        <v>45.136167593565645</v>
      </c>
      <c r="E39" s="12">
        <v>-54.24595639532469</v>
      </c>
      <c r="F39" s="66">
        <v>86.441507188387391</v>
      </c>
      <c r="G39" s="12">
        <v>-24.981029801405079</v>
      </c>
      <c r="H39" s="12">
        <v>175.66769201203459</v>
      </c>
      <c r="I39" s="12">
        <v>-142.11877626874963</v>
      </c>
      <c r="J39" s="12">
        <v>15.412508973207071</v>
      </c>
      <c r="K39" s="66">
        <v>25</v>
      </c>
      <c r="L39" s="12">
        <v>31</v>
      </c>
      <c r="M39" s="12">
        <v>-64.236307993163152</v>
      </c>
      <c r="N39" s="12">
        <v>-27.893688068708684</v>
      </c>
      <c r="O39" s="12">
        <f t="shared" ref="O39:O40" si="3">+P39-L39-M39-N39</f>
        <v>-21.870003938128164</v>
      </c>
      <c r="P39" s="66">
        <v>-83</v>
      </c>
    </row>
    <row r="40" spans="1:16" ht="14.25">
      <c r="A40" s="2" t="s">
        <v>47</v>
      </c>
      <c r="B40" s="12">
        <v>-1.7106551293000012</v>
      </c>
      <c r="C40" s="12">
        <v>1.9031998190000012</v>
      </c>
      <c r="D40" s="12">
        <v>-0.77971963389999999</v>
      </c>
      <c r="E40" s="12">
        <v>8.4032675124000011</v>
      </c>
      <c r="F40" s="66">
        <v>7.8160925682000011</v>
      </c>
      <c r="G40" s="12">
        <v>-6.5634449999999998</v>
      </c>
      <c r="H40" s="12">
        <v>2.1808035428653358</v>
      </c>
      <c r="I40" s="12">
        <v>-2.7427316259311159</v>
      </c>
      <c r="J40" s="12">
        <v>2.0528508248700206</v>
      </c>
      <c r="K40" s="66">
        <v>-6</v>
      </c>
      <c r="L40" s="12">
        <v>-4</v>
      </c>
      <c r="M40" s="12">
        <v>5.5305539049140062</v>
      </c>
      <c r="N40" s="12">
        <v>1.2009882833540142</v>
      </c>
      <c r="O40" s="12">
        <f t="shared" si="3"/>
        <v>-1.7315421882680204</v>
      </c>
      <c r="P40" s="66">
        <v>1</v>
      </c>
    </row>
    <row r="41" spans="1:16" s="3" customFormat="1">
      <c r="A41" s="44" t="s">
        <v>48</v>
      </c>
      <c r="B41" s="64">
        <v>139.9531832909812</v>
      </c>
      <c r="C41" s="64">
        <v>247.7651591856465</v>
      </c>
      <c r="D41" s="64">
        <v>292.12206888041209</v>
      </c>
      <c r="E41" s="64">
        <v>246.27911913004712</v>
      </c>
      <c r="F41" s="65">
        <v>246.2789557881874</v>
      </c>
      <c r="G41" s="64">
        <v>214.88015146180001</v>
      </c>
      <c r="H41" s="64">
        <v>392.72922091229992</v>
      </c>
      <c r="I41" s="64">
        <v>247.86771287709999</v>
      </c>
      <c r="J41" s="64">
        <v>265.33307223140002</v>
      </c>
      <c r="K41" s="65">
        <v>265.33307223140002</v>
      </c>
      <c r="L41" s="64">
        <v>292</v>
      </c>
      <c r="M41" s="64">
        <v>233.65927410496212</v>
      </c>
      <c r="N41" s="64">
        <v>207.39875032020683</v>
      </c>
      <c r="O41" s="64">
        <v>183</v>
      </c>
      <c r="P41" s="65">
        <v>183</v>
      </c>
    </row>
    <row r="43" spans="1:16" ht="3" customHeight="1">
      <c r="A43" s="53"/>
      <c r="B43" s="54"/>
      <c r="C43" s="54"/>
      <c r="D43" s="54"/>
      <c r="E43" s="54"/>
      <c r="F43" s="55"/>
      <c r="G43" s="54"/>
      <c r="H43" s="54"/>
      <c r="I43" s="54"/>
      <c r="J43" s="54"/>
      <c r="K43" s="55"/>
      <c r="L43" s="54"/>
      <c r="M43" s="54"/>
      <c r="N43" s="54"/>
      <c r="O43" s="54"/>
      <c r="P43" s="55"/>
    </row>
    <row r="45" spans="1:16">
      <c r="A45" s="69" t="s">
        <v>174</v>
      </c>
      <c r="F45" s="29"/>
      <c r="K45" s="29"/>
      <c r="P45" s="29"/>
    </row>
    <row r="46" spans="1:16" s="3" customFormat="1">
      <c r="A46" s="3" t="s">
        <v>32</v>
      </c>
      <c r="B46" s="68">
        <f t="shared" ref="B46:N46" si="4">+B15</f>
        <v>50.971840303500187</v>
      </c>
      <c r="C46" s="48">
        <f t="shared" si="4"/>
        <v>108.96225287119967</v>
      </c>
      <c r="D46" s="68">
        <f t="shared" si="4"/>
        <v>45.46844130680342</v>
      </c>
      <c r="E46" s="68">
        <f t="shared" si="4"/>
        <v>53.777781947708377</v>
      </c>
      <c r="F46" s="37">
        <f t="shared" si="4"/>
        <v>259.18031642921164</v>
      </c>
      <c r="G46" s="67">
        <f t="shared" si="4"/>
        <v>49.21865771770058</v>
      </c>
      <c r="H46" s="68">
        <f t="shared" si="4"/>
        <v>77.251836796234215</v>
      </c>
      <c r="I46" s="68">
        <f t="shared" si="4"/>
        <v>59.272149527730448</v>
      </c>
      <c r="J46" s="68">
        <f t="shared" si="4"/>
        <v>61.632105523906702</v>
      </c>
      <c r="K46" s="37">
        <f t="shared" si="4"/>
        <v>249</v>
      </c>
      <c r="L46" s="68">
        <f t="shared" si="4"/>
        <v>80</v>
      </c>
      <c r="M46" s="68">
        <f t="shared" si="4"/>
        <v>59.793772235986722</v>
      </c>
      <c r="N46" s="68">
        <f t="shared" si="4"/>
        <v>101.56331781560866</v>
      </c>
      <c r="O46" s="68">
        <f>+P46-L46-M46-N46</f>
        <v>85.642909948404622</v>
      </c>
      <c r="P46" s="37">
        <v>327</v>
      </c>
    </row>
    <row r="47" spans="1:16">
      <c r="A47" s="2" t="s">
        <v>166</v>
      </c>
      <c r="B47" s="12">
        <f t="shared" ref="B47:M47" si="5">+B8</f>
        <v>0</v>
      </c>
      <c r="C47" s="12">
        <f t="shared" si="5"/>
        <v>0</v>
      </c>
      <c r="D47" s="12">
        <f t="shared" si="5"/>
        <v>0</v>
      </c>
      <c r="E47" s="12">
        <f t="shared" si="5"/>
        <v>1</v>
      </c>
      <c r="F47" s="66">
        <f t="shared" si="5"/>
        <v>1</v>
      </c>
      <c r="G47" s="12">
        <f t="shared" si="5"/>
        <v>0</v>
      </c>
      <c r="H47" s="12">
        <f t="shared" si="5"/>
        <v>8</v>
      </c>
      <c r="I47" s="12">
        <f t="shared" si="5"/>
        <v>0</v>
      </c>
      <c r="J47" s="12">
        <f t="shared" si="5"/>
        <v>1</v>
      </c>
      <c r="K47" s="66">
        <f t="shared" si="5"/>
        <v>9</v>
      </c>
      <c r="L47" s="12">
        <f t="shared" si="5"/>
        <v>4</v>
      </c>
      <c r="M47" s="12">
        <f t="shared" si="5"/>
        <v>5.1910186200000004</v>
      </c>
      <c r="N47" s="12">
        <f>+N8</f>
        <v>2.4104149500000016</v>
      </c>
      <c r="O47" s="12">
        <v>1</v>
      </c>
      <c r="P47" s="37">
        <f t="shared" ref="P47:P49" si="6">+SUM(L47:O47)</f>
        <v>12.601433570000003</v>
      </c>
    </row>
    <row r="48" spans="1:16">
      <c r="A48" s="2" t="s">
        <v>33</v>
      </c>
      <c r="B48" s="12">
        <f t="shared" ref="B48:N48" si="7">+B17</f>
        <v>-7.2634456601000323</v>
      </c>
      <c r="C48" s="12">
        <f t="shared" si="7"/>
        <v>-3.3328997044999684</v>
      </c>
      <c r="D48" s="12">
        <f t="shared" si="7"/>
        <v>-5.5045862653000128</v>
      </c>
      <c r="E48" s="12">
        <f t="shared" si="7"/>
        <v>-4.5388216934000045</v>
      </c>
      <c r="F48" s="66">
        <f t="shared" si="7"/>
        <v>-20.63975332330002</v>
      </c>
      <c r="G48" s="12">
        <f t="shared" si="7"/>
        <v>-6.2316291310999965</v>
      </c>
      <c r="H48" s="12">
        <f t="shared" si="7"/>
        <v>-4.1733296707001299</v>
      </c>
      <c r="I48" s="12">
        <f t="shared" si="7"/>
        <v>-4.6611803981998738</v>
      </c>
      <c r="J48" s="12">
        <f t="shared" si="7"/>
        <v>-4.9584231402000354</v>
      </c>
      <c r="K48" s="66">
        <f t="shared" si="7"/>
        <v>-20.024562340200038</v>
      </c>
      <c r="L48" s="12">
        <f t="shared" si="7"/>
        <v>-4</v>
      </c>
      <c r="M48" s="12">
        <f t="shared" si="7"/>
        <v>-3.5811378774999376</v>
      </c>
      <c r="N48" s="12">
        <f t="shared" si="7"/>
        <v>-5.4277254352000783</v>
      </c>
      <c r="O48" s="12">
        <v>-7</v>
      </c>
      <c r="P48" s="37">
        <f t="shared" si="6"/>
        <v>-20.008863312700015</v>
      </c>
    </row>
    <row r="49" spans="1:16">
      <c r="A49" s="2" t="s">
        <v>39</v>
      </c>
      <c r="B49" s="12">
        <f t="shared" ref="B49:N49" si="8">+B26</f>
        <v>-14.4</v>
      </c>
      <c r="C49" s="12">
        <f t="shared" si="8"/>
        <v>-12.79</v>
      </c>
      <c r="D49" s="12">
        <f t="shared" si="8"/>
        <v>-18.042000000000002</v>
      </c>
      <c r="E49" s="12">
        <f t="shared" si="8"/>
        <v>-20.904</v>
      </c>
      <c r="F49" s="66">
        <f t="shared" si="8"/>
        <v>-66.135999999999996</v>
      </c>
      <c r="G49" s="12">
        <f t="shared" si="8"/>
        <v>-19.156158975100038</v>
      </c>
      <c r="H49" s="12">
        <f t="shared" si="8"/>
        <v>-21.421776704999981</v>
      </c>
      <c r="I49" s="12">
        <f t="shared" si="8"/>
        <v>-20.296420983300013</v>
      </c>
      <c r="J49" s="12">
        <f t="shared" si="8"/>
        <v>-22.627727018000023</v>
      </c>
      <c r="K49" s="66">
        <f t="shared" si="8"/>
        <v>-83.502083681400052</v>
      </c>
      <c r="L49" s="12">
        <f t="shared" si="8"/>
        <v>-22</v>
      </c>
      <c r="M49" s="12">
        <f t="shared" si="8"/>
        <v>-22.946340007600025</v>
      </c>
      <c r="N49" s="12">
        <f t="shared" si="8"/>
        <v>-21.029653091800039</v>
      </c>
      <c r="O49" s="12">
        <v>-32</v>
      </c>
      <c r="P49" s="37">
        <f t="shared" si="6"/>
        <v>-97.975993099400071</v>
      </c>
    </row>
    <row r="50" spans="1:16" s="3" customFormat="1">
      <c r="A50" s="44" t="s">
        <v>174</v>
      </c>
      <c r="B50" s="64">
        <f>SUM(B46:B49)</f>
        <v>29.308394643400156</v>
      </c>
      <c r="C50" s="64">
        <f t="shared" ref="C50:M50" si="9">SUM(C46:C49)</f>
        <v>92.839353166699709</v>
      </c>
      <c r="D50" s="64">
        <f t="shared" si="9"/>
        <v>21.921855041503406</v>
      </c>
      <c r="E50" s="64">
        <f t="shared" si="9"/>
        <v>29.334960254308374</v>
      </c>
      <c r="F50" s="65">
        <f t="shared" si="9"/>
        <v>173.40456310591162</v>
      </c>
      <c r="G50" s="64">
        <f t="shared" si="9"/>
        <v>23.83086961150055</v>
      </c>
      <c r="H50" s="64">
        <f t="shared" si="9"/>
        <v>59.656730420534103</v>
      </c>
      <c r="I50" s="64">
        <f t="shared" si="9"/>
        <v>34.314548146230564</v>
      </c>
      <c r="J50" s="64">
        <f t="shared" si="9"/>
        <v>35.045955365706646</v>
      </c>
      <c r="K50" s="65">
        <f t="shared" si="9"/>
        <v>154.4733539783999</v>
      </c>
      <c r="L50" s="64">
        <f t="shared" si="9"/>
        <v>58</v>
      </c>
      <c r="M50" s="64">
        <f t="shared" si="9"/>
        <v>38.457312970886747</v>
      </c>
      <c r="N50" s="64">
        <f t="shared" ref="N50" si="10">SUM(N46:N49)</f>
        <v>77.516354238608542</v>
      </c>
      <c r="O50" s="64">
        <f>+P50-L50-M50-N50</f>
        <v>47.026332790504711</v>
      </c>
      <c r="P50" s="65">
        <v>221</v>
      </c>
    </row>
  </sheetData>
  <pageMargins left="0.7" right="0.7" top="0.75" bottom="0.75" header="0.3" footer="0.3"/>
  <pageSetup paperSize="9" scale="64" orientation="landscape" r:id="rId1"/>
  <ignoredErrors>
    <ignoredError sqref="B47:M47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D1B43-773C-491E-AEC2-F501F3DDD3CA}">
  <dimension ref="A1:P115"/>
  <sheetViews>
    <sheetView showGridLines="0"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8" sqref="B8"/>
    </sheetView>
  </sheetViews>
  <sheetFormatPr defaultRowHeight="15" outlineLevelCol="1"/>
  <cols>
    <col min="1" max="1" width="41.375" style="2" customWidth="1"/>
    <col min="2" max="5" width="9" style="2" outlineLevel="1"/>
    <col min="6" max="6" width="9" style="3"/>
    <col min="7" max="10" width="9" style="2" outlineLevel="1"/>
    <col min="11" max="11" width="9" style="3"/>
    <col min="12" max="15" width="9" style="2"/>
    <col min="16" max="16" width="9" style="3"/>
    <col min="17" max="16384" width="9" style="2"/>
  </cols>
  <sheetData>
    <row r="1" spans="1:16" ht="24" customHeight="1">
      <c r="A1" s="1" t="s">
        <v>133</v>
      </c>
      <c r="P1" s="2"/>
    </row>
    <row r="2" spans="1:16" ht="24" customHeight="1">
      <c r="A2" s="1" t="s">
        <v>129</v>
      </c>
      <c r="P2" s="2"/>
    </row>
    <row r="3" spans="1:16" s="8" customFormat="1" ht="20.25" customHeight="1">
      <c r="A3" s="4" t="s">
        <v>134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6" t="s">
        <v>14</v>
      </c>
      <c r="L3" s="5" t="s">
        <v>50</v>
      </c>
      <c r="M3" s="5" t="s">
        <v>138</v>
      </c>
      <c r="N3" s="5" t="s">
        <v>159</v>
      </c>
      <c r="O3" s="5" t="s">
        <v>163</v>
      </c>
      <c r="P3" s="6" t="s">
        <v>164</v>
      </c>
    </row>
    <row r="4" spans="1:16">
      <c r="A4" s="3"/>
      <c r="B4" s="9"/>
      <c r="C4" s="9"/>
      <c r="D4" s="9"/>
      <c r="E4" s="9"/>
      <c r="F4" s="41"/>
      <c r="G4" s="9"/>
      <c r="H4" s="9"/>
      <c r="I4" s="9"/>
      <c r="J4" s="9"/>
      <c r="K4" s="41"/>
      <c r="L4" s="9"/>
      <c r="M4" s="9"/>
      <c r="N4" s="9"/>
      <c r="O4" s="9"/>
      <c r="P4" s="41"/>
    </row>
    <row r="5" spans="1:16" ht="14.25">
      <c r="A5" s="2" t="s">
        <v>82</v>
      </c>
      <c r="B5" s="9">
        <v>651</v>
      </c>
      <c r="C5" s="9">
        <v>685</v>
      </c>
      <c r="D5" s="9">
        <v>688</v>
      </c>
      <c r="E5" s="9">
        <v>728</v>
      </c>
      <c r="F5" s="41">
        <v>728</v>
      </c>
      <c r="G5" s="9">
        <v>720.76462377640007</v>
      </c>
      <c r="H5" s="9">
        <v>918</v>
      </c>
      <c r="I5" s="9">
        <v>956</v>
      </c>
      <c r="J5" s="9">
        <v>955</v>
      </c>
      <c r="K5" s="41">
        <v>955</v>
      </c>
      <c r="L5" s="9">
        <v>1066.0774749750999</v>
      </c>
      <c r="M5" s="9">
        <v>1088.3169855828</v>
      </c>
      <c r="N5" s="9">
        <v>1133.7472988006</v>
      </c>
      <c r="O5" s="9">
        <v>1278.5401565812999</v>
      </c>
      <c r="P5" s="41">
        <v>1278.5401565812999</v>
      </c>
    </row>
    <row r="6" spans="1:16" ht="14.25">
      <c r="A6" s="2" t="s">
        <v>83</v>
      </c>
      <c r="B6" s="9">
        <v>225</v>
      </c>
      <c r="C6" s="9">
        <v>251</v>
      </c>
      <c r="D6" s="9">
        <v>249</v>
      </c>
      <c r="E6" s="9">
        <v>276</v>
      </c>
      <c r="F6" s="41">
        <v>276</v>
      </c>
      <c r="G6" s="9">
        <v>269.00829384650007</v>
      </c>
      <c r="H6" s="9">
        <v>317</v>
      </c>
      <c r="I6" s="9">
        <v>331</v>
      </c>
      <c r="J6" s="9">
        <v>335.28401661690003</v>
      </c>
      <c r="K6" s="41">
        <v>335.28401661690003</v>
      </c>
      <c r="L6" s="9">
        <v>340.17246830630012</v>
      </c>
      <c r="M6" s="9">
        <v>332.78144477319989</v>
      </c>
      <c r="N6" s="9">
        <v>353.96762661369996</v>
      </c>
      <c r="O6" s="9">
        <v>385.75002369949999</v>
      </c>
      <c r="P6" s="41">
        <v>385.75002369949999</v>
      </c>
    </row>
    <row r="7" spans="1:16" ht="14.25">
      <c r="A7" s="2" t="s">
        <v>160</v>
      </c>
      <c r="B7" s="9">
        <v>62</v>
      </c>
      <c r="C7" s="9">
        <v>75</v>
      </c>
      <c r="D7" s="9">
        <v>78</v>
      </c>
      <c r="E7" s="9">
        <v>83</v>
      </c>
      <c r="F7" s="41">
        <v>83</v>
      </c>
      <c r="G7" s="9">
        <v>80.496894023400003</v>
      </c>
      <c r="H7" s="9">
        <v>85</v>
      </c>
      <c r="I7" s="9">
        <v>104</v>
      </c>
      <c r="J7" s="9">
        <v>112.98513200320001</v>
      </c>
      <c r="K7" s="41">
        <v>112.98513200320001</v>
      </c>
      <c r="L7" s="9">
        <v>117.47977905740001</v>
      </c>
      <c r="M7" s="9">
        <v>127.81823089430002</v>
      </c>
      <c r="N7" s="9">
        <v>133.89007386949999</v>
      </c>
      <c r="O7" s="9">
        <v>146.77860972030004</v>
      </c>
      <c r="P7" s="41">
        <v>146.77860972030004</v>
      </c>
    </row>
    <row r="8" spans="1:16" s="3" customFormat="1">
      <c r="A8" s="44" t="s">
        <v>85</v>
      </c>
      <c r="B8" s="45">
        <v>938</v>
      </c>
      <c r="C8" s="45">
        <v>1011</v>
      </c>
      <c r="D8" s="45">
        <v>1015</v>
      </c>
      <c r="E8" s="45">
        <v>1087</v>
      </c>
      <c r="F8" s="46">
        <v>1087</v>
      </c>
      <c r="G8" s="45">
        <v>1070.2698116462998</v>
      </c>
      <c r="H8" s="45">
        <f>SUM(H5:H7)</f>
        <v>1320</v>
      </c>
      <c r="I8" s="45">
        <v>1391</v>
      </c>
      <c r="J8" s="45">
        <v>1403.2691486201002</v>
      </c>
      <c r="K8" s="46">
        <v>1403.2691486201002</v>
      </c>
      <c r="L8" s="45">
        <v>1523.7297223388</v>
      </c>
      <c r="M8" s="45">
        <v>1548.9166612503</v>
      </c>
      <c r="N8" s="45">
        <v>1621.6049992838</v>
      </c>
      <c r="O8" s="45">
        <v>1811.0687900010998</v>
      </c>
      <c r="P8" s="46">
        <v>1811.0687900010998</v>
      </c>
    </row>
    <row r="9" spans="1:16" ht="14.25">
      <c r="B9" s="9"/>
      <c r="C9" s="9"/>
      <c r="D9" s="9"/>
      <c r="E9" s="9"/>
      <c r="F9" s="41"/>
      <c r="G9" s="9"/>
      <c r="H9" s="9"/>
      <c r="I9" s="9"/>
      <c r="J9" s="9"/>
      <c r="K9" s="41"/>
      <c r="L9" s="9"/>
      <c r="M9" s="9"/>
      <c r="N9" s="9"/>
      <c r="O9" s="9"/>
      <c r="P9" s="41"/>
    </row>
    <row r="10" spans="1:16" ht="14.25">
      <c r="A10" s="2" t="s">
        <v>86</v>
      </c>
      <c r="B10" s="9">
        <v>68</v>
      </c>
      <c r="C10" s="9">
        <v>70</v>
      </c>
      <c r="D10" s="9">
        <v>71</v>
      </c>
      <c r="E10" s="9">
        <v>71</v>
      </c>
      <c r="F10" s="41">
        <v>71</v>
      </c>
      <c r="G10" s="9">
        <v>67.185248234900001</v>
      </c>
      <c r="H10" s="9">
        <v>61</v>
      </c>
      <c r="I10" s="9">
        <v>54</v>
      </c>
      <c r="J10" s="9">
        <v>49.809766301899984</v>
      </c>
      <c r="K10" s="41">
        <v>49.809766301899984</v>
      </c>
      <c r="L10" s="9">
        <v>45.590129531700015</v>
      </c>
      <c r="M10" s="9">
        <v>44.729622220600021</v>
      </c>
      <c r="N10" s="9">
        <v>44.230793027599994</v>
      </c>
      <c r="O10" s="9">
        <v>48.499348648900025</v>
      </c>
      <c r="P10" s="41">
        <v>48.499348648900025</v>
      </c>
    </row>
    <row r="11" spans="1:16" ht="14.25">
      <c r="A11" s="2" t="s">
        <v>87</v>
      </c>
      <c r="B11" s="9">
        <v>185</v>
      </c>
      <c r="C11" s="9">
        <v>182</v>
      </c>
      <c r="D11" s="9">
        <v>186</v>
      </c>
      <c r="E11" s="9">
        <v>194</v>
      </c>
      <c r="F11" s="41">
        <v>194</v>
      </c>
      <c r="G11" s="9">
        <v>177.5977526078</v>
      </c>
      <c r="H11" s="9">
        <v>234</v>
      </c>
      <c r="I11" s="9">
        <v>230</v>
      </c>
      <c r="J11" s="9">
        <v>226.40299858180001</v>
      </c>
      <c r="K11" s="41">
        <v>226.40299858180001</v>
      </c>
      <c r="L11" s="9">
        <v>207.44107569200003</v>
      </c>
      <c r="M11" s="9">
        <v>190.78336681619999</v>
      </c>
      <c r="N11" s="9">
        <v>183.08255596850009</v>
      </c>
      <c r="O11" s="9">
        <v>217.3943702482</v>
      </c>
      <c r="P11" s="41">
        <v>217.3943702482</v>
      </c>
    </row>
    <row r="12" spans="1:16" s="3" customFormat="1">
      <c r="A12" s="44" t="s">
        <v>88</v>
      </c>
      <c r="B12" s="45">
        <v>252</v>
      </c>
      <c r="C12" s="45">
        <v>252</v>
      </c>
      <c r="D12" s="45">
        <v>257</v>
      </c>
      <c r="E12" s="45">
        <v>264</v>
      </c>
      <c r="F12" s="46">
        <v>264</v>
      </c>
      <c r="G12" s="45">
        <v>244.78300084270001</v>
      </c>
      <c r="H12" s="45">
        <v>296</v>
      </c>
      <c r="I12" s="45">
        <v>284</v>
      </c>
      <c r="J12" s="45">
        <v>276.2127648837</v>
      </c>
      <c r="K12" s="46">
        <v>276.2127648837</v>
      </c>
      <c r="L12" s="45">
        <v>253.03120522370006</v>
      </c>
      <c r="M12" s="45">
        <v>235.51298903680001</v>
      </c>
      <c r="N12" s="45">
        <v>227.31334899610007</v>
      </c>
      <c r="O12" s="45">
        <v>265.89371889710003</v>
      </c>
      <c r="P12" s="46">
        <v>265.89371889710003</v>
      </c>
    </row>
    <row r="13" spans="1:16" ht="14.25">
      <c r="B13" s="9"/>
      <c r="C13" s="9"/>
      <c r="D13" s="9"/>
      <c r="E13" s="9"/>
      <c r="F13" s="41"/>
      <c r="G13" s="9"/>
      <c r="H13" s="9"/>
      <c r="I13" s="9"/>
      <c r="J13" s="9"/>
      <c r="K13" s="41"/>
      <c r="L13" s="9"/>
      <c r="M13" s="9"/>
      <c r="N13" s="9"/>
      <c r="O13" s="9"/>
      <c r="P13" s="41"/>
    </row>
    <row r="14" spans="1:16" ht="14.25">
      <c r="A14" s="2" t="s">
        <v>89</v>
      </c>
      <c r="B14" s="9">
        <v>47</v>
      </c>
      <c r="C14" s="9">
        <v>46.739254823600007</v>
      </c>
      <c r="D14" s="9">
        <v>29.611191842700002</v>
      </c>
      <c r="E14" s="9">
        <v>15</v>
      </c>
      <c r="F14" s="41">
        <v>15</v>
      </c>
      <c r="G14" s="9">
        <v>21</v>
      </c>
      <c r="H14" s="9">
        <v>59.995765230900005</v>
      </c>
      <c r="I14" s="9">
        <v>65.989324496200013</v>
      </c>
      <c r="J14" s="9">
        <v>64</v>
      </c>
      <c r="K14" s="41">
        <v>64</v>
      </c>
      <c r="L14" s="9">
        <v>66.813887891899995</v>
      </c>
      <c r="M14" s="9">
        <v>68.516173864199999</v>
      </c>
      <c r="N14" s="9">
        <v>92.901515297299994</v>
      </c>
      <c r="O14" s="9">
        <v>96</v>
      </c>
      <c r="P14" s="41">
        <v>96</v>
      </c>
    </row>
    <row r="15" spans="1:16" ht="14.25">
      <c r="A15" s="2" t="s">
        <v>140</v>
      </c>
      <c r="B15" s="9">
        <v>37</v>
      </c>
      <c r="C15" s="9">
        <v>37.324692924899999</v>
      </c>
      <c r="D15" s="9">
        <v>52.160400253399999</v>
      </c>
      <c r="E15" s="9">
        <v>49</v>
      </c>
      <c r="F15" s="41">
        <v>49</v>
      </c>
      <c r="G15" s="9">
        <v>36</v>
      </c>
      <c r="H15" s="9">
        <v>35.657537240000003</v>
      </c>
      <c r="I15" s="9">
        <v>39.971677059999998</v>
      </c>
      <c r="J15" s="9">
        <v>34.409550590000002</v>
      </c>
      <c r="K15" s="41">
        <v>34.409550590000002</v>
      </c>
      <c r="L15" s="9">
        <v>45.422541000000002</v>
      </c>
      <c r="M15" s="9">
        <v>45.422541000000002</v>
      </c>
      <c r="N15" s="9">
        <v>43.36341101</v>
      </c>
      <c r="O15" s="9">
        <v>49.540720870000001</v>
      </c>
      <c r="P15" s="41">
        <v>49.540720870000001</v>
      </c>
    </row>
    <row r="16" spans="1:16" ht="14.25">
      <c r="A16" s="2" t="s">
        <v>93</v>
      </c>
      <c r="B16" s="9">
        <v>4</v>
      </c>
      <c r="C16" s="9">
        <v>3.7486229999999998</v>
      </c>
      <c r="D16" s="9">
        <v>8.5771894576999994</v>
      </c>
      <c r="E16" s="9">
        <v>11</v>
      </c>
      <c r="F16" s="41">
        <v>11</v>
      </c>
      <c r="G16" s="9">
        <v>20</v>
      </c>
      <c r="H16" s="9">
        <v>21.052959753700001</v>
      </c>
      <c r="I16" s="9">
        <v>10.623083468199997</v>
      </c>
      <c r="J16" s="9">
        <v>14</v>
      </c>
      <c r="K16" s="41">
        <v>14</v>
      </c>
      <c r="L16" s="9">
        <v>10.1047271428</v>
      </c>
      <c r="M16" s="9">
        <v>10.1047271428</v>
      </c>
      <c r="N16" s="9">
        <v>12.866765109400001</v>
      </c>
      <c r="O16" s="9">
        <v>7.2740655328999999</v>
      </c>
      <c r="P16" s="41">
        <v>7.2740655328999999</v>
      </c>
    </row>
    <row r="17" spans="1:16" ht="14.25">
      <c r="A17" s="2" t="s">
        <v>84</v>
      </c>
      <c r="B17" s="9">
        <v>19</v>
      </c>
      <c r="C17" s="9">
        <v>23</v>
      </c>
      <c r="D17" s="9">
        <v>23</v>
      </c>
      <c r="E17" s="9">
        <v>15</v>
      </c>
      <c r="F17" s="41">
        <v>15</v>
      </c>
      <c r="G17" s="9">
        <v>14.642055276599994</v>
      </c>
      <c r="H17" s="9">
        <v>26</v>
      </c>
      <c r="I17" s="9">
        <v>18</v>
      </c>
      <c r="J17" s="9">
        <v>31</v>
      </c>
      <c r="K17" s="41">
        <v>31</v>
      </c>
      <c r="L17" s="9">
        <v>28.374611981499999</v>
      </c>
      <c r="M17" s="9">
        <v>30.465151142900002</v>
      </c>
      <c r="N17" s="9">
        <v>28.929268943899999</v>
      </c>
      <c r="O17" s="9">
        <v>38.252666491499994</v>
      </c>
      <c r="P17" s="41">
        <v>38.252666491499994</v>
      </c>
    </row>
    <row r="18" spans="1:16" s="3" customFormat="1">
      <c r="A18" s="44" t="s">
        <v>139</v>
      </c>
      <c r="B18" s="45">
        <v>107</v>
      </c>
      <c r="C18" s="45">
        <v>111</v>
      </c>
      <c r="D18" s="45">
        <v>113</v>
      </c>
      <c r="E18" s="45">
        <v>90</v>
      </c>
      <c r="F18" s="46">
        <v>90</v>
      </c>
      <c r="G18" s="45">
        <v>91.64205527659999</v>
      </c>
      <c r="H18" s="45">
        <v>142.70626222460001</v>
      </c>
      <c r="I18" s="45">
        <v>134.5840850244</v>
      </c>
      <c r="J18" s="45">
        <v>142.9179154126</v>
      </c>
      <c r="K18" s="46">
        <v>142.9179154126</v>
      </c>
      <c r="L18" s="45">
        <v>150.7157680162</v>
      </c>
      <c r="M18" s="45">
        <v>154.50859314990001</v>
      </c>
      <c r="N18" s="45">
        <v>178.06096036060001</v>
      </c>
      <c r="O18" s="45">
        <v>190.71139108170001</v>
      </c>
      <c r="P18" s="46">
        <v>190.71139108170001</v>
      </c>
    </row>
    <row r="19" spans="1:16" ht="14.25">
      <c r="B19" s="9"/>
      <c r="C19" s="9"/>
      <c r="D19" s="9"/>
      <c r="E19" s="9"/>
      <c r="F19" s="41"/>
      <c r="G19" s="9"/>
      <c r="H19" s="9"/>
      <c r="I19" s="9"/>
      <c r="J19" s="9"/>
      <c r="K19" s="41"/>
      <c r="L19" s="9"/>
      <c r="M19" s="9"/>
      <c r="N19" s="9"/>
      <c r="O19" s="9"/>
      <c r="P19" s="41"/>
    </row>
    <row r="20" spans="1:16" s="3" customFormat="1">
      <c r="A20" s="44" t="s">
        <v>90</v>
      </c>
      <c r="B20" s="45">
        <v>1297</v>
      </c>
      <c r="C20" s="45">
        <v>1374</v>
      </c>
      <c r="D20" s="45">
        <v>1386</v>
      </c>
      <c r="E20" s="45">
        <v>1440</v>
      </c>
      <c r="F20" s="46">
        <v>1440</v>
      </c>
      <c r="G20" s="45">
        <v>1407</v>
      </c>
      <c r="H20" s="45">
        <v>1757</v>
      </c>
      <c r="I20" s="45">
        <v>1810</v>
      </c>
      <c r="J20" s="45">
        <v>1822</v>
      </c>
      <c r="K20" s="46">
        <v>1822</v>
      </c>
      <c r="L20" s="45">
        <v>1928</v>
      </c>
      <c r="M20" s="45">
        <v>1939</v>
      </c>
      <c r="N20" s="45">
        <v>2026.9793086405002</v>
      </c>
      <c r="O20" s="45">
        <v>2267.6738999798999</v>
      </c>
      <c r="P20" s="46">
        <v>2267.6738999798999</v>
      </c>
    </row>
    <row r="21" spans="1:16" ht="14.25">
      <c r="B21" s="9"/>
      <c r="C21" s="9"/>
      <c r="D21" s="9"/>
      <c r="E21" s="9"/>
      <c r="F21" s="41"/>
      <c r="G21" s="9"/>
      <c r="H21" s="9"/>
      <c r="I21" s="9"/>
      <c r="J21" s="9"/>
      <c r="K21" s="41"/>
      <c r="L21" s="9"/>
      <c r="M21" s="9"/>
      <c r="N21" s="9"/>
      <c r="O21" s="9"/>
      <c r="P21" s="41"/>
    </row>
    <row r="22" spans="1:16" ht="14.25">
      <c r="A22" s="2" t="s">
        <v>91</v>
      </c>
      <c r="B22" s="9">
        <v>8</v>
      </c>
      <c r="C22" s="9">
        <v>8</v>
      </c>
      <c r="D22" s="9">
        <v>11</v>
      </c>
      <c r="E22" s="9">
        <v>10</v>
      </c>
      <c r="F22" s="41">
        <v>10</v>
      </c>
      <c r="G22" s="9">
        <v>11</v>
      </c>
      <c r="H22" s="9">
        <v>12.4265979698</v>
      </c>
      <c r="I22" s="9">
        <v>15</v>
      </c>
      <c r="J22" s="9">
        <v>12.0623918385</v>
      </c>
      <c r="K22" s="41">
        <v>12.0623918385</v>
      </c>
      <c r="L22" s="9">
        <v>14</v>
      </c>
      <c r="M22" s="9">
        <v>12.4164744385</v>
      </c>
      <c r="N22" s="9">
        <v>11.9206106276</v>
      </c>
      <c r="O22" s="9">
        <v>11.671711669900001</v>
      </c>
      <c r="P22" s="41">
        <v>11.671711669900001</v>
      </c>
    </row>
    <row r="23" spans="1:16" ht="14.25">
      <c r="A23" s="2" t="s">
        <v>92</v>
      </c>
      <c r="B23" s="9">
        <v>213</v>
      </c>
      <c r="C23" s="9">
        <v>221</v>
      </c>
      <c r="D23" s="9">
        <v>216</v>
      </c>
      <c r="E23" s="9">
        <v>288</v>
      </c>
      <c r="F23" s="41">
        <v>288</v>
      </c>
      <c r="G23" s="9">
        <v>243</v>
      </c>
      <c r="H23" s="9">
        <v>288.01927851030001</v>
      </c>
      <c r="I23" s="9">
        <v>295</v>
      </c>
      <c r="J23" s="9">
        <v>324.52796514900001</v>
      </c>
      <c r="K23" s="41">
        <v>324.52796514900001</v>
      </c>
      <c r="L23" s="9">
        <v>329</v>
      </c>
      <c r="M23" s="9">
        <v>372.23842730490003</v>
      </c>
      <c r="N23" s="9">
        <v>342.76156438720005</v>
      </c>
      <c r="O23" s="9">
        <v>407.2159601038</v>
      </c>
      <c r="P23" s="41">
        <v>407.2159601038</v>
      </c>
    </row>
    <row r="24" spans="1:16" ht="14.25">
      <c r="A24" s="2" t="s">
        <v>141</v>
      </c>
      <c r="B24" s="9">
        <v>14</v>
      </c>
      <c r="C24" s="9">
        <v>0</v>
      </c>
      <c r="D24" s="9">
        <v>1.5592756382999999</v>
      </c>
      <c r="E24" s="9">
        <v>1</v>
      </c>
      <c r="F24" s="41">
        <v>1</v>
      </c>
      <c r="G24" s="9">
        <v>6</v>
      </c>
      <c r="H24" s="9">
        <v>2.5471839817999999</v>
      </c>
      <c r="I24" s="9">
        <v>4.9411784272999988</v>
      </c>
      <c r="J24" s="9">
        <v>17.718484564100002</v>
      </c>
      <c r="K24" s="41">
        <v>17.718484564100002</v>
      </c>
      <c r="L24" s="9">
        <v>18.395568689399997</v>
      </c>
      <c r="M24" s="9">
        <v>19.196324366800003</v>
      </c>
      <c r="N24" s="9">
        <v>18.0498608957</v>
      </c>
      <c r="O24" s="9">
        <v>23.544531412599998</v>
      </c>
      <c r="P24" s="41">
        <v>23.544531412599998</v>
      </c>
    </row>
    <row r="25" spans="1:16" ht="14.25">
      <c r="A25" s="2" t="s">
        <v>140</v>
      </c>
      <c r="B25" s="9">
        <v>9</v>
      </c>
      <c r="C25" s="9">
        <v>9</v>
      </c>
      <c r="D25" s="9">
        <v>21.431651866700001</v>
      </c>
      <c r="E25" s="9">
        <v>21</v>
      </c>
      <c r="F25" s="41">
        <v>21</v>
      </c>
      <c r="G25" s="9">
        <v>21</v>
      </c>
      <c r="H25" s="9">
        <v>20.903399962999998</v>
      </c>
      <c r="I25" s="9">
        <v>15.8773878978</v>
      </c>
      <c r="J25" s="9">
        <v>15.829533014300001</v>
      </c>
      <c r="K25" s="41">
        <v>15.829533014300001</v>
      </c>
      <c r="L25" s="9">
        <v>16</v>
      </c>
      <c r="M25" s="9">
        <v>17.919308999999998</v>
      </c>
      <c r="N25" s="9">
        <v>18.146131</v>
      </c>
      <c r="O25" s="9">
        <v>10.659941999999999</v>
      </c>
      <c r="P25" s="41">
        <v>10.659941999999999</v>
      </c>
    </row>
    <row r="26" spans="1:16" ht="14.25">
      <c r="A26" s="2" t="s">
        <v>93</v>
      </c>
      <c r="B26" s="9">
        <v>40</v>
      </c>
      <c r="C26" s="9">
        <v>87</v>
      </c>
      <c r="D26" s="9">
        <v>68.341488747700012</v>
      </c>
      <c r="E26" s="9">
        <v>102</v>
      </c>
      <c r="F26" s="41">
        <v>102</v>
      </c>
      <c r="G26" s="9">
        <v>125</v>
      </c>
      <c r="H26" s="9">
        <v>127.5550938268</v>
      </c>
      <c r="I26" s="9">
        <v>109.2171475263</v>
      </c>
      <c r="J26" s="9">
        <v>118.8480297911</v>
      </c>
      <c r="K26" s="41">
        <v>118.8480297911</v>
      </c>
      <c r="L26" s="9">
        <v>150</v>
      </c>
      <c r="M26" s="9">
        <v>159.22384258490004</v>
      </c>
      <c r="N26" s="9">
        <v>148.14101035319999</v>
      </c>
      <c r="O26" s="9">
        <v>141.31905446979999</v>
      </c>
      <c r="P26" s="41">
        <v>141.31905446979999</v>
      </c>
    </row>
    <row r="27" spans="1:16" ht="14.25">
      <c r="A27" s="2" t="s">
        <v>94</v>
      </c>
      <c r="B27" s="9">
        <v>171</v>
      </c>
      <c r="C27" s="9">
        <v>248</v>
      </c>
      <c r="D27" s="9">
        <v>292</v>
      </c>
      <c r="E27" s="9">
        <v>246</v>
      </c>
      <c r="F27" s="41">
        <v>246</v>
      </c>
      <c r="G27" s="9">
        <v>215</v>
      </c>
      <c r="H27" s="9">
        <v>392.72922091230004</v>
      </c>
      <c r="I27" s="9">
        <v>248</v>
      </c>
      <c r="J27" s="9">
        <v>265.33307223140002</v>
      </c>
      <c r="K27" s="41">
        <v>265.33307223140002</v>
      </c>
      <c r="L27" s="9">
        <v>292</v>
      </c>
      <c r="M27" s="9">
        <v>233.65917336199996</v>
      </c>
      <c r="N27" s="9">
        <v>207.39849908900001</v>
      </c>
      <c r="O27" s="9">
        <v>183.15811700569998</v>
      </c>
      <c r="P27" s="41">
        <v>183.15811700569998</v>
      </c>
    </row>
    <row r="28" spans="1:16" s="3" customFormat="1">
      <c r="A28" s="44" t="s">
        <v>95</v>
      </c>
      <c r="B28" s="45">
        <v>455</v>
      </c>
      <c r="C28" s="45">
        <v>563</v>
      </c>
      <c r="D28" s="45">
        <v>611</v>
      </c>
      <c r="E28" s="45">
        <v>668</v>
      </c>
      <c r="F28" s="46">
        <v>668</v>
      </c>
      <c r="G28" s="45">
        <v>621</v>
      </c>
      <c r="H28" s="45">
        <v>844.18077516400012</v>
      </c>
      <c r="I28" s="45">
        <v>688</v>
      </c>
      <c r="J28" s="45">
        <v>754.31947658839999</v>
      </c>
      <c r="K28" s="46">
        <v>754.31947658839999</v>
      </c>
      <c r="L28" s="45">
        <v>819</v>
      </c>
      <c r="M28" s="45">
        <v>814.6535510571</v>
      </c>
      <c r="N28" s="45">
        <v>746.41767635270014</v>
      </c>
      <c r="O28" s="45">
        <v>777.56931666180003</v>
      </c>
      <c r="P28" s="46">
        <v>777.56931666180003</v>
      </c>
    </row>
    <row r="29" spans="1:16" ht="14.25">
      <c r="B29" s="9"/>
      <c r="C29" s="9"/>
      <c r="D29" s="9"/>
      <c r="E29" s="9"/>
      <c r="F29" s="41"/>
      <c r="G29" s="9"/>
      <c r="H29" s="9"/>
      <c r="I29" s="9"/>
      <c r="J29" s="9"/>
      <c r="K29" s="41"/>
      <c r="L29" s="9"/>
      <c r="M29" s="9"/>
      <c r="N29" s="9"/>
      <c r="O29" s="9"/>
      <c r="P29" s="41"/>
    </row>
    <row r="30" spans="1:16" s="3" customFormat="1">
      <c r="A30" s="44" t="s">
        <v>56</v>
      </c>
      <c r="B30" s="45">
        <v>1752</v>
      </c>
      <c r="C30" s="45">
        <v>1937</v>
      </c>
      <c r="D30" s="45">
        <v>1997</v>
      </c>
      <c r="E30" s="45">
        <v>2108</v>
      </c>
      <c r="F30" s="46">
        <v>2108</v>
      </c>
      <c r="G30" s="45">
        <v>2028</v>
      </c>
      <c r="H30" s="45">
        <v>2601.6486553978002</v>
      </c>
      <c r="I30" s="45">
        <v>2498</v>
      </c>
      <c r="J30" s="45">
        <v>2576.4516158574002</v>
      </c>
      <c r="K30" s="46">
        <v>2576.4516158574002</v>
      </c>
      <c r="L30" s="45">
        <v>2747</v>
      </c>
      <c r="M30" s="45">
        <v>2753.5917944941002</v>
      </c>
      <c r="N30" s="45">
        <v>2773.3969849932005</v>
      </c>
      <c r="O30" s="45">
        <v>3045.2432166417002</v>
      </c>
      <c r="P30" s="46">
        <v>3045.2432166417002</v>
      </c>
    </row>
    <row r="31" spans="1:16" ht="14.25"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</row>
    <row r="32" spans="1:16" ht="14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1:16" s="8" customFormat="1" ht="20.25" customHeight="1">
      <c r="A33" s="70" t="s">
        <v>135</v>
      </c>
      <c r="B33" s="5" t="s">
        <v>5</v>
      </c>
      <c r="C33" s="5" t="s">
        <v>6</v>
      </c>
      <c r="D33" s="5" t="s">
        <v>7</v>
      </c>
      <c r="E33" s="5" t="s">
        <v>8</v>
      </c>
      <c r="F33" s="6" t="s">
        <v>9</v>
      </c>
      <c r="G33" s="5" t="s">
        <v>10</v>
      </c>
      <c r="H33" s="5" t="s">
        <v>11</v>
      </c>
      <c r="I33" s="5" t="s">
        <v>12</v>
      </c>
      <c r="J33" s="5" t="s">
        <v>13</v>
      </c>
      <c r="K33" s="6" t="s">
        <v>14</v>
      </c>
      <c r="L33" s="5" t="s">
        <v>50</v>
      </c>
      <c r="M33" s="5" t="s">
        <v>138</v>
      </c>
      <c r="N33" s="5" t="s">
        <v>159</v>
      </c>
      <c r="O33" s="5" t="s">
        <v>163</v>
      </c>
      <c r="P33" s="6" t="s">
        <v>164</v>
      </c>
    </row>
    <row r="34" spans="1:16">
      <c r="A34" s="3"/>
      <c r="B34" s="9"/>
      <c r="C34" s="9"/>
      <c r="D34" s="9"/>
      <c r="E34" s="9"/>
      <c r="F34" s="41"/>
      <c r="G34" s="9"/>
      <c r="H34" s="9"/>
      <c r="I34" s="9"/>
      <c r="J34" s="9"/>
      <c r="K34" s="41"/>
      <c r="L34" s="9"/>
      <c r="M34" s="9"/>
      <c r="N34" s="9"/>
      <c r="O34" s="9"/>
      <c r="P34" s="41"/>
    </row>
    <row r="35" spans="1:16" ht="14.25">
      <c r="A35" s="2" t="s">
        <v>96</v>
      </c>
      <c r="B35" s="9">
        <v>379</v>
      </c>
      <c r="C35" s="9">
        <v>385</v>
      </c>
      <c r="D35" s="9">
        <v>387</v>
      </c>
      <c r="E35" s="9">
        <v>388</v>
      </c>
      <c r="F35" s="41">
        <v>388</v>
      </c>
      <c r="G35" s="9">
        <v>392.19453099999998</v>
      </c>
      <c r="H35" s="9">
        <v>442</v>
      </c>
      <c r="I35" s="9">
        <v>443</v>
      </c>
      <c r="J35" s="9">
        <v>445.45513399999999</v>
      </c>
      <c r="K35" s="41">
        <v>445.45513399999999</v>
      </c>
      <c r="L35" s="9">
        <v>448.33010100000001</v>
      </c>
      <c r="M35" s="9">
        <v>448.33</v>
      </c>
      <c r="N35" s="9">
        <v>452.05049399999996</v>
      </c>
      <c r="O35" s="9">
        <v>452.1</v>
      </c>
      <c r="P35" s="41">
        <v>452.1</v>
      </c>
    </row>
    <row r="36" spans="1:16" ht="14.25">
      <c r="A36" s="2" t="s">
        <v>97</v>
      </c>
      <c r="B36" s="9">
        <v>-3</v>
      </c>
      <c r="C36" s="9">
        <v>-4</v>
      </c>
      <c r="D36" s="9">
        <v>-5</v>
      </c>
      <c r="E36" s="9">
        <v>-8</v>
      </c>
      <c r="F36" s="41">
        <v>-8</v>
      </c>
      <c r="G36" s="9">
        <v>-7.8988110000000002</v>
      </c>
      <c r="H36" s="9">
        <v>-4</v>
      </c>
      <c r="I36" s="9">
        <v>-2</v>
      </c>
      <c r="J36" s="9">
        <v>-1.1778420000000001</v>
      </c>
      <c r="K36" s="41">
        <v>-1.1778420000000001</v>
      </c>
      <c r="L36" s="9">
        <v>-1.1358160000000002</v>
      </c>
      <c r="M36" s="9">
        <v>-1.7869999999999999</v>
      </c>
      <c r="N36" s="9">
        <v>-1.8499840000000001</v>
      </c>
      <c r="O36" s="9">
        <v>-2.7</v>
      </c>
      <c r="P36" s="41">
        <v>-2.7</v>
      </c>
    </row>
    <row r="37" spans="1:16" ht="14.25">
      <c r="A37" s="2" t="s">
        <v>98</v>
      </c>
      <c r="B37" s="9">
        <v>442</v>
      </c>
      <c r="C37" s="9">
        <v>458</v>
      </c>
      <c r="D37" s="9">
        <v>508</v>
      </c>
      <c r="E37" s="9">
        <v>496</v>
      </c>
      <c r="F37" s="41">
        <v>496</v>
      </c>
      <c r="G37" s="9">
        <v>412</v>
      </c>
      <c r="H37" s="9">
        <v>771</v>
      </c>
      <c r="I37" s="9">
        <v>763</v>
      </c>
      <c r="J37" s="9">
        <v>773</v>
      </c>
      <c r="K37" s="41">
        <v>773</v>
      </c>
      <c r="L37" s="9">
        <v>752.03719049959977</v>
      </c>
      <c r="M37" s="9">
        <v>799.3</v>
      </c>
      <c r="N37" s="9">
        <v>816.07205981492325</v>
      </c>
      <c r="O37" s="9">
        <v>839</v>
      </c>
      <c r="P37" s="41">
        <v>839</v>
      </c>
    </row>
    <row r="38" spans="1:16" s="3" customFormat="1">
      <c r="A38" s="44" t="s">
        <v>99</v>
      </c>
      <c r="B38" s="45">
        <v>817</v>
      </c>
      <c r="C38" s="45">
        <v>839</v>
      </c>
      <c r="D38" s="45">
        <v>890</v>
      </c>
      <c r="E38" s="45">
        <v>876</v>
      </c>
      <c r="F38" s="46">
        <v>876</v>
      </c>
      <c r="G38" s="45">
        <v>796</v>
      </c>
      <c r="H38" s="45">
        <v>1209</v>
      </c>
      <c r="I38" s="45">
        <v>1204</v>
      </c>
      <c r="J38" s="45">
        <v>1217</v>
      </c>
      <c r="K38" s="46">
        <v>1217</v>
      </c>
      <c r="L38" s="45">
        <v>1199.2314754995998</v>
      </c>
      <c r="M38" s="45">
        <v>1245.8429999999998</v>
      </c>
      <c r="N38" s="45">
        <v>1266.2725698149231</v>
      </c>
      <c r="O38" s="45">
        <v>1288</v>
      </c>
      <c r="P38" s="46">
        <v>1288</v>
      </c>
    </row>
    <row r="39" spans="1:16" ht="14.25">
      <c r="B39" s="9"/>
      <c r="C39" s="9"/>
      <c r="D39" s="9"/>
      <c r="E39" s="9"/>
      <c r="F39" s="41"/>
      <c r="G39" s="9"/>
      <c r="H39" s="9"/>
      <c r="I39" s="9"/>
      <c r="J39" s="9"/>
      <c r="K39" s="41"/>
      <c r="L39" s="9"/>
      <c r="M39" s="9"/>
      <c r="N39" s="9"/>
      <c r="O39" s="9"/>
      <c r="P39" s="41"/>
    </row>
    <row r="40" spans="1:16" ht="14.25">
      <c r="A40" s="2" t="s">
        <v>58</v>
      </c>
      <c r="B40" s="9">
        <v>144</v>
      </c>
      <c r="C40" s="9">
        <v>197</v>
      </c>
      <c r="D40" s="9">
        <v>191</v>
      </c>
      <c r="E40" s="9">
        <v>230</v>
      </c>
      <c r="F40" s="41">
        <v>230</v>
      </c>
      <c r="G40" s="9">
        <v>166</v>
      </c>
      <c r="H40" s="9">
        <v>192</v>
      </c>
      <c r="I40" s="9">
        <v>197</v>
      </c>
      <c r="J40" s="9">
        <v>223</v>
      </c>
      <c r="K40" s="41">
        <v>223</v>
      </c>
      <c r="L40" s="9">
        <v>207.45987724239998</v>
      </c>
      <c r="M40" s="9">
        <v>214.70839873519401</v>
      </c>
      <c r="N40" s="9">
        <v>233.28450009351909</v>
      </c>
      <c r="O40" s="9">
        <v>364</v>
      </c>
      <c r="P40" s="41">
        <v>364</v>
      </c>
    </row>
    <row r="41" spans="1:16" s="3" customFormat="1">
      <c r="A41" s="44" t="s">
        <v>100</v>
      </c>
      <c r="B41" s="45">
        <v>962</v>
      </c>
      <c r="C41" s="45">
        <v>1036</v>
      </c>
      <c r="D41" s="45">
        <v>1081</v>
      </c>
      <c r="E41" s="45">
        <v>1106</v>
      </c>
      <c r="F41" s="46">
        <v>1106</v>
      </c>
      <c r="G41" s="45">
        <v>962</v>
      </c>
      <c r="H41" s="45">
        <v>1401</v>
      </c>
      <c r="I41" s="45">
        <v>1401</v>
      </c>
      <c r="J41" s="45">
        <v>1440</v>
      </c>
      <c r="K41" s="46">
        <v>1440</v>
      </c>
      <c r="L41" s="45">
        <v>1406.6913527419997</v>
      </c>
      <c r="M41" s="45">
        <v>1460.5513987351937</v>
      </c>
      <c r="N41" s="45">
        <v>1499.5570699084421</v>
      </c>
      <c r="O41" s="45">
        <v>1652</v>
      </c>
      <c r="P41" s="46">
        <v>1652</v>
      </c>
    </row>
    <row r="42" spans="1:16" ht="14.25">
      <c r="B42" s="9"/>
      <c r="C42" s="9"/>
      <c r="D42" s="9"/>
      <c r="E42" s="9"/>
      <c r="F42" s="41"/>
      <c r="G42" s="9"/>
      <c r="H42" s="9"/>
      <c r="I42" s="9"/>
      <c r="J42" s="9"/>
      <c r="K42" s="41"/>
      <c r="L42" s="9"/>
      <c r="M42" s="9"/>
      <c r="N42" s="9"/>
      <c r="O42" s="9"/>
      <c r="P42" s="41"/>
    </row>
    <row r="43" spans="1:16" ht="14.25">
      <c r="A43" s="2" t="s">
        <v>101</v>
      </c>
      <c r="B43" s="9">
        <v>140</v>
      </c>
      <c r="C43" s="9">
        <v>136</v>
      </c>
      <c r="D43" s="9">
        <v>138</v>
      </c>
      <c r="E43" s="9">
        <v>139</v>
      </c>
      <c r="F43" s="41">
        <v>139</v>
      </c>
      <c r="G43" s="9">
        <v>125.54780295829998</v>
      </c>
      <c r="H43" s="9">
        <v>169</v>
      </c>
      <c r="I43" s="9">
        <v>163</v>
      </c>
      <c r="J43" s="9">
        <v>160</v>
      </c>
      <c r="K43" s="41">
        <v>160</v>
      </c>
      <c r="L43" s="9">
        <v>145.70252969700002</v>
      </c>
      <c r="M43" s="9">
        <v>130.33279531089994</v>
      </c>
      <c r="N43" s="9">
        <v>121.08951802679999</v>
      </c>
      <c r="O43" s="9">
        <v>145.48370653539999</v>
      </c>
      <c r="P43" s="41">
        <v>145.48370653539999</v>
      </c>
    </row>
    <row r="44" spans="1:16" ht="14.25">
      <c r="A44" s="2" t="s">
        <v>102</v>
      </c>
      <c r="B44" s="9">
        <v>58</v>
      </c>
      <c r="C44" s="9">
        <v>95</v>
      </c>
      <c r="D44" s="9">
        <v>125</v>
      </c>
      <c r="E44" s="9">
        <v>124</v>
      </c>
      <c r="F44" s="41">
        <v>124</v>
      </c>
      <c r="G44" s="9">
        <f>156.0100621309-34</f>
        <v>122.0100621309</v>
      </c>
      <c r="H44" s="9">
        <v>144</v>
      </c>
      <c r="I44" s="9">
        <v>157</v>
      </c>
      <c r="J44" s="9">
        <v>181</v>
      </c>
      <c r="K44" s="41">
        <v>181</v>
      </c>
      <c r="L44" s="9">
        <v>304.34136161560002</v>
      </c>
      <c r="M44" s="9">
        <v>300.2341371</v>
      </c>
      <c r="N44" s="9">
        <v>296.44618289000005</v>
      </c>
      <c r="O44" s="9">
        <v>350.18083863999999</v>
      </c>
      <c r="P44" s="41">
        <v>350.18083863999999</v>
      </c>
    </row>
    <row r="45" spans="1:16" ht="14.25">
      <c r="A45" s="2" t="s">
        <v>103</v>
      </c>
      <c r="B45" s="9">
        <v>67</v>
      </c>
      <c r="C45" s="9">
        <v>34</v>
      </c>
      <c r="D45" s="9">
        <v>34</v>
      </c>
      <c r="E45" s="9">
        <v>40</v>
      </c>
      <c r="F45" s="41">
        <v>40</v>
      </c>
      <c r="G45" s="9">
        <f>36.6751426099-8</f>
        <v>28.6751426099</v>
      </c>
      <c r="H45" s="9">
        <v>29</v>
      </c>
      <c r="I45" s="9">
        <v>29</v>
      </c>
      <c r="J45" s="9">
        <v>26</v>
      </c>
      <c r="K45" s="41">
        <v>26</v>
      </c>
      <c r="L45" s="9">
        <v>37.989780349099995</v>
      </c>
      <c r="M45" s="9">
        <v>26.276584223299999</v>
      </c>
      <c r="N45" s="9">
        <v>30.6255027154</v>
      </c>
      <c r="O45" s="9">
        <v>39.270503664800003</v>
      </c>
      <c r="P45" s="41">
        <v>39.270503664800003</v>
      </c>
    </row>
    <row r="46" spans="1:16" ht="14.25">
      <c r="A46" s="2" t="s">
        <v>104</v>
      </c>
      <c r="B46" s="9">
        <v>1</v>
      </c>
      <c r="C46" s="9">
        <v>6</v>
      </c>
      <c r="D46" s="9">
        <v>0</v>
      </c>
      <c r="E46" s="9">
        <v>0</v>
      </c>
      <c r="F46" s="41">
        <v>0</v>
      </c>
      <c r="G46" s="9">
        <v>0</v>
      </c>
      <c r="H46" s="9">
        <v>10</v>
      </c>
      <c r="I46" s="9">
        <v>7</v>
      </c>
      <c r="J46" s="9">
        <v>7</v>
      </c>
      <c r="K46" s="41">
        <v>7</v>
      </c>
      <c r="L46" s="9">
        <v>7.8435289592000004</v>
      </c>
      <c r="M46" s="9">
        <v>2.8709295505000001</v>
      </c>
      <c r="N46" s="9">
        <v>3.7574450168000002</v>
      </c>
      <c r="O46" s="9">
        <v>4.0754089918999998</v>
      </c>
      <c r="P46" s="41">
        <v>4.0754089918999998</v>
      </c>
    </row>
    <row r="47" spans="1:16" ht="14.25">
      <c r="A47" s="2" t="s">
        <v>105</v>
      </c>
      <c r="B47" s="9">
        <v>45</v>
      </c>
      <c r="C47" s="9">
        <v>51</v>
      </c>
      <c r="D47" s="9">
        <v>51</v>
      </c>
      <c r="E47" s="9">
        <v>60</v>
      </c>
      <c r="F47" s="41">
        <v>60</v>
      </c>
      <c r="G47" s="9">
        <v>59.117615745500004</v>
      </c>
      <c r="H47" s="9">
        <v>70</v>
      </c>
      <c r="I47" s="9">
        <v>73</v>
      </c>
      <c r="J47" s="9">
        <v>78</v>
      </c>
      <c r="K47" s="41">
        <v>78</v>
      </c>
      <c r="L47" s="9">
        <v>76.124009732299982</v>
      </c>
      <c r="M47" s="9">
        <v>74.765139188900008</v>
      </c>
      <c r="N47" s="9">
        <v>76.849101174399991</v>
      </c>
      <c r="O47" s="9">
        <v>83.600170256699997</v>
      </c>
      <c r="P47" s="41">
        <v>83.600170256699997</v>
      </c>
    </row>
    <row r="48" spans="1:16" s="3" customFormat="1">
      <c r="A48" s="44" t="s">
        <v>106</v>
      </c>
      <c r="B48" s="45">
        <v>310</v>
      </c>
      <c r="C48" s="45">
        <v>322</v>
      </c>
      <c r="D48" s="45">
        <v>349</v>
      </c>
      <c r="E48" s="45">
        <v>363</v>
      </c>
      <c r="F48" s="46">
        <v>363</v>
      </c>
      <c r="G48" s="45">
        <f>SUM(G43:G47)</f>
        <v>335.35062344459999</v>
      </c>
      <c r="H48" s="45">
        <v>423</v>
      </c>
      <c r="I48" s="45">
        <v>430</v>
      </c>
      <c r="J48" s="45">
        <v>451</v>
      </c>
      <c r="K48" s="46">
        <v>451</v>
      </c>
      <c r="L48" s="45">
        <v>572.00121035320001</v>
      </c>
      <c r="M48" s="45">
        <v>534.4795853736</v>
      </c>
      <c r="N48" s="45">
        <v>528.76774982339998</v>
      </c>
      <c r="O48" s="45">
        <v>622.61062808880001</v>
      </c>
      <c r="P48" s="46">
        <v>622.61062808880001</v>
      </c>
    </row>
    <row r="49" spans="1:16" ht="14.25">
      <c r="B49" s="9"/>
      <c r="C49" s="9"/>
      <c r="D49" s="9"/>
      <c r="E49" s="9"/>
      <c r="F49" s="41"/>
      <c r="G49" s="9"/>
      <c r="H49" s="9"/>
      <c r="I49" s="9"/>
      <c r="J49" s="9"/>
      <c r="K49" s="41"/>
      <c r="L49" s="9"/>
      <c r="M49" s="9"/>
      <c r="N49" s="9"/>
      <c r="O49" s="9"/>
      <c r="P49" s="41"/>
    </row>
    <row r="50" spans="1:16" ht="14.25">
      <c r="A50" s="2" t="s">
        <v>101</v>
      </c>
      <c r="B50" s="9">
        <v>50</v>
      </c>
      <c r="C50" s="9">
        <v>52</v>
      </c>
      <c r="D50" s="9">
        <v>55</v>
      </c>
      <c r="E50" s="9">
        <v>62</v>
      </c>
      <c r="F50" s="41">
        <v>62</v>
      </c>
      <c r="G50" s="9">
        <v>58.48729069800001</v>
      </c>
      <c r="H50" s="9">
        <v>72.031940753700013</v>
      </c>
      <c r="I50" s="9">
        <v>76</v>
      </c>
      <c r="J50" s="9">
        <v>76.455718473100006</v>
      </c>
      <c r="K50" s="41">
        <v>76.455718473100006</v>
      </c>
      <c r="L50" s="9">
        <v>70.886625800600015</v>
      </c>
      <c r="M50" s="9">
        <v>68.315787179100013</v>
      </c>
      <c r="N50" s="9">
        <v>71.310507691300003</v>
      </c>
      <c r="O50" s="9">
        <v>79.836660877200018</v>
      </c>
      <c r="P50" s="41">
        <v>79.836660877200018</v>
      </c>
    </row>
    <row r="51" spans="1:16" ht="14.25">
      <c r="A51" s="2" t="s">
        <v>102</v>
      </c>
      <c r="B51" s="9">
        <v>8</v>
      </c>
      <c r="C51" s="9">
        <v>1</v>
      </c>
      <c r="D51" s="9">
        <v>3</v>
      </c>
      <c r="E51" s="9">
        <v>36</v>
      </c>
      <c r="F51" s="41">
        <v>36</v>
      </c>
      <c r="G51" s="9">
        <f>11.3392733851+23</f>
        <v>34.3392733851</v>
      </c>
      <c r="H51" s="9">
        <v>33.810914900699998</v>
      </c>
      <c r="I51" s="9">
        <v>32</v>
      </c>
      <c r="J51" s="9">
        <v>35.622018325300004</v>
      </c>
      <c r="K51" s="41">
        <v>35.622018325300004</v>
      </c>
      <c r="L51" s="9">
        <v>15.2724227657</v>
      </c>
      <c r="M51" s="9">
        <v>13.000481559200001</v>
      </c>
      <c r="N51" s="9">
        <v>10.6059909855</v>
      </c>
      <c r="O51" s="9">
        <v>17.4602795196</v>
      </c>
      <c r="P51" s="41">
        <v>17.4602795196</v>
      </c>
    </row>
    <row r="52" spans="1:16" ht="14.25">
      <c r="A52" s="2" t="s">
        <v>103</v>
      </c>
      <c r="B52" s="9">
        <v>0</v>
      </c>
      <c r="C52" s="9">
        <v>19</v>
      </c>
      <c r="D52" s="9">
        <v>19</v>
      </c>
      <c r="E52" s="9">
        <v>17</v>
      </c>
      <c r="F52" s="41">
        <v>17</v>
      </c>
      <c r="G52" s="9">
        <v>8</v>
      </c>
      <c r="H52" s="9">
        <v>7.8378540000000001</v>
      </c>
      <c r="I52" s="9">
        <v>8</v>
      </c>
      <c r="J52" s="9">
        <v>4.9129529999999999</v>
      </c>
      <c r="K52" s="41">
        <v>4.9129529999999999</v>
      </c>
      <c r="L52" s="9">
        <v>2.0613099999999998</v>
      </c>
      <c r="M52" s="9">
        <v>16.663964</v>
      </c>
      <c r="N52" s="9">
        <v>18.365459999999999</v>
      </c>
      <c r="O52" s="9">
        <v>22.548245999999999</v>
      </c>
      <c r="P52" s="41">
        <v>22.548245999999999</v>
      </c>
    </row>
    <row r="53" spans="1:16" ht="14.25">
      <c r="A53" s="2" t="s">
        <v>107</v>
      </c>
      <c r="B53" s="9">
        <v>22</v>
      </c>
      <c r="C53" s="9">
        <v>32</v>
      </c>
      <c r="D53" s="9">
        <v>37</v>
      </c>
      <c r="E53" s="9">
        <v>38</v>
      </c>
      <c r="F53" s="41">
        <v>38</v>
      </c>
      <c r="G53" s="9">
        <v>20.710566815799996</v>
      </c>
      <c r="H53" s="9">
        <v>33.488606091899996</v>
      </c>
      <c r="I53" s="9">
        <v>31</v>
      </c>
      <c r="J53" s="9">
        <v>59.109818730500002</v>
      </c>
      <c r="K53" s="41">
        <v>59.109818730500002</v>
      </c>
      <c r="L53" s="9">
        <v>42.480984463599995</v>
      </c>
      <c r="M53" s="9">
        <v>50.541308897299999</v>
      </c>
      <c r="N53" s="9">
        <v>60.6088382282</v>
      </c>
      <c r="O53" s="9">
        <v>67.829120325600002</v>
      </c>
      <c r="P53" s="41">
        <v>67.829120325600002</v>
      </c>
    </row>
    <row r="54" spans="1:16" ht="14.25">
      <c r="A54" s="2" t="s">
        <v>108</v>
      </c>
      <c r="B54" s="9">
        <v>72</v>
      </c>
      <c r="C54" s="9">
        <v>70</v>
      </c>
      <c r="D54" s="9">
        <v>74</v>
      </c>
      <c r="E54" s="9">
        <v>98</v>
      </c>
      <c r="F54" s="41">
        <v>98</v>
      </c>
      <c r="G54" s="9">
        <v>84.038284871199963</v>
      </c>
      <c r="H54" s="9">
        <v>86.629239158700003</v>
      </c>
      <c r="I54" s="9">
        <v>101</v>
      </c>
      <c r="J54" s="9">
        <v>111.28540567349999</v>
      </c>
      <c r="K54" s="41">
        <v>111.28540567349999</v>
      </c>
      <c r="L54" s="9">
        <v>113.38714578969996</v>
      </c>
      <c r="M54" s="9">
        <v>108.6092948733</v>
      </c>
      <c r="N54" s="9">
        <v>120.369509017</v>
      </c>
      <c r="O54" s="9">
        <v>141.7247110198</v>
      </c>
      <c r="P54" s="41">
        <v>141.7247110198</v>
      </c>
    </row>
    <row r="55" spans="1:16" ht="14.25">
      <c r="A55" s="2" t="s">
        <v>142</v>
      </c>
      <c r="B55" s="9">
        <v>48</v>
      </c>
      <c r="C55" s="9">
        <v>32</v>
      </c>
      <c r="D55" s="9">
        <v>29.791169006000001</v>
      </c>
      <c r="E55" s="9">
        <v>35</v>
      </c>
      <c r="F55" s="41">
        <v>35</v>
      </c>
      <c r="G55" s="9">
        <v>57.615342146399996</v>
      </c>
      <c r="H55" s="9">
        <v>41.228440912499998</v>
      </c>
      <c r="I55" s="9">
        <v>38.695238600899984</v>
      </c>
      <c r="J55" s="9">
        <v>40.217723203299997</v>
      </c>
      <c r="K55" s="41">
        <v>40.217723203299997</v>
      </c>
      <c r="L55" s="9">
        <v>51.111481451700001</v>
      </c>
      <c r="M55" s="9">
        <v>64.106529130400006</v>
      </c>
      <c r="N55" s="9">
        <v>60.323840014300004</v>
      </c>
      <c r="O55" s="9">
        <v>48.909856202900002</v>
      </c>
      <c r="P55" s="41">
        <v>48.909856202900002</v>
      </c>
    </row>
    <row r="56" spans="1:16" ht="14.25">
      <c r="A56" s="2" t="s">
        <v>143</v>
      </c>
      <c r="B56" s="9">
        <v>50.762999999999998</v>
      </c>
      <c r="C56" s="9">
        <v>0</v>
      </c>
      <c r="D56" s="9">
        <v>1.2445874371000003</v>
      </c>
      <c r="E56" s="9">
        <v>0</v>
      </c>
      <c r="F56" s="41">
        <v>0</v>
      </c>
      <c r="G56" s="9">
        <v>130.4131119818</v>
      </c>
      <c r="H56" s="9">
        <v>69.033128798999996</v>
      </c>
      <c r="I56" s="9">
        <v>3.6455020961</v>
      </c>
      <c r="J56" s="9">
        <v>0</v>
      </c>
      <c r="K56" s="41">
        <v>0</v>
      </c>
      <c r="L56" s="9">
        <v>65.27714667379999</v>
      </c>
      <c r="M56" s="9">
        <v>5.4098972732000004</v>
      </c>
      <c r="N56" s="9">
        <v>4.2171977264000002</v>
      </c>
      <c r="O56" s="9">
        <v>0</v>
      </c>
      <c r="P56" s="41">
        <v>0</v>
      </c>
    </row>
    <row r="57" spans="1:16" ht="14.25">
      <c r="A57" s="2" t="s">
        <v>109</v>
      </c>
      <c r="B57" s="9">
        <f>328-50.763-48</f>
        <v>229.23700000000002</v>
      </c>
      <c r="C57" s="9">
        <f>405-32</f>
        <v>373</v>
      </c>
      <c r="D57" s="9">
        <v>348.59361068920026</v>
      </c>
      <c r="E57" s="9">
        <v>53</v>
      </c>
      <c r="F57" s="41">
        <v>353</v>
      </c>
      <c r="G57" s="9">
        <f>326.297502834899+11</f>
        <v>337.29750283489898</v>
      </c>
      <c r="H57" s="9">
        <v>433.38700859739708</v>
      </c>
      <c r="I57" s="9">
        <v>377.6394503693989</v>
      </c>
      <c r="J57" s="9">
        <v>358.36305272160058</v>
      </c>
      <c r="K57" s="41">
        <v>358.36305272160058</v>
      </c>
      <c r="L57" s="9">
        <v>407.90453705800161</v>
      </c>
      <c r="M57" s="9">
        <v>431.92341865649985</v>
      </c>
      <c r="N57" s="9">
        <v>399.27052003000017</v>
      </c>
      <c r="O57" s="9">
        <v>392</v>
      </c>
      <c r="P57" s="41">
        <v>392</v>
      </c>
    </row>
    <row r="58" spans="1:16" s="3" customFormat="1">
      <c r="A58" s="44" t="s">
        <v>110</v>
      </c>
      <c r="B58" s="45">
        <v>481</v>
      </c>
      <c r="C58" s="45">
        <v>578</v>
      </c>
      <c r="D58" s="45">
        <v>567</v>
      </c>
      <c r="E58" s="45">
        <v>639</v>
      </c>
      <c r="F58" s="46">
        <v>639</v>
      </c>
      <c r="G58" s="45">
        <f>SUM(G50:G57)</f>
        <v>730.90137273319897</v>
      </c>
      <c r="H58" s="45">
        <v>777.44713321389713</v>
      </c>
      <c r="I58" s="45">
        <v>667</v>
      </c>
      <c r="J58" s="45">
        <v>685</v>
      </c>
      <c r="K58" s="46">
        <v>685</v>
      </c>
      <c r="L58" s="45">
        <v>768</v>
      </c>
      <c r="M58" s="45">
        <v>758.57068156899982</v>
      </c>
      <c r="N58" s="45">
        <v>745.07186369270016</v>
      </c>
      <c r="O58" s="45">
        <v>770</v>
      </c>
      <c r="P58" s="46">
        <v>770</v>
      </c>
    </row>
    <row r="59" spans="1:16" ht="14.25">
      <c r="B59" s="9"/>
      <c r="C59" s="9"/>
      <c r="D59" s="9"/>
      <c r="E59" s="9"/>
      <c r="F59" s="41"/>
      <c r="G59" s="9"/>
      <c r="H59" s="9"/>
      <c r="I59" s="9"/>
      <c r="J59" s="9"/>
      <c r="K59" s="41"/>
      <c r="L59" s="9"/>
      <c r="M59" s="9"/>
      <c r="N59" s="9"/>
      <c r="O59" s="9"/>
      <c r="P59" s="41"/>
    </row>
    <row r="60" spans="1:16" s="3" customFormat="1">
      <c r="A60" s="44" t="s">
        <v>111</v>
      </c>
      <c r="B60" s="45">
        <v>1752</v>
      </c>
      <c r="C60" s="45">
        <v>1937</v>
      </c>
      <c r="D60" s="45">
        <v>1997</v>
      </c>
      <c r="E60" s="45">
        <v>2108</v>
      </c>
      <c r="F60" s="46">
        <v>2108</v>
      </c>
      <c r="G60" s="45">
        <v>2028</v>
      </c>
      <c r="H60" s="45">
        <v>2601.6039517102972</v>
      </c>
      <c r="I60" s="45">
        <v>2498</v>
      </c>
      <c r="J60" s="45">
        <v>2576.2163583148008</v>
      </c>
      <c r="K60" s="46">
        <v>2576.2163583148008</v>
      </c>
      <c r="L60" s="45">
        <v>2747</v>
      </c>
      <c r="M60" s="45">
        <v>2753.6016656777933</v>
      </c>
      <c r="N60" s="45">
        <v>2773.3966834245421</v>
      </c>
      <c r="O60" s="45">
        <v>3045.219543107698</v>
      </c>
      <c r="P60" s="46">
        <v>3045.219543107698</v>
      </c>
    </row>
    <row r="61" spans="1:16" ht="14.25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</row>
    <row r="62" spans="1:16" ht="3" customHeight="1">
      <c r="A62" s="53"/>
      <c r="B62" s="54"/>
      <c r="C62" s="54"/>
      <c r="D62" s="54"/>
      <c r="E62" s="54"/>
      <c r="F62" s="55"/>
      <c r="G62" s="54"/>
      <c r="H62" s="54"/>
      <c r="I62" s="54"/>
      <c r="J62" s="54"/>
      <c r="K62" s="55"/>
      <c r="L62" s="54"/>
      <c r="M62" s="54"/>
      <c r="N62" s="54"/>
      <c r="O62" s="54"/>
      <c r="P62" s="55"/>
    </row>
    <row r="63" spans="1:16" ht="14.25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</row>
    <row r="64" spans="1:16">
      <c r="A64" s="69" t="s">
        <v>59</v>
      </c>
      <c r="F64" s="29"/>
      <c r="K64" s="29"/>
      <c r="P64" s="29"/>
    </row>
    <row r="65" spans="1:16" ht="14.25">
      <c r="A65" s="2" t="str">
        <f>+A23</f>
        <v>Trade receivables</v>
      </c>
      <c r="B65" s="9">
        <f t="shared" ref="B65:M65" si="0">+B23</f>
        <v>213</v>
      </c>
      <c r="C65" s="9">
        <f t="shared" si="0"/>
        <v>221</v>
      </c>
      <c r="D65" s="9">
        <f t="shared" si="0"/>
        <v>216</v>
      </c>
      <c r="E65" s="9">
        <f t="shared" si="0"/>
        <v>288</v>
      </c>
      <c r="F65" s="41">
        <f t="shared" si="0"/>
        <v>288</v>
      </c>
      <c r="G65" s="9">
        <f t="shared" si="0"/>
        <v>243</v>
      </c>
      <c r="H65" s="9">
        <f t="shared" si="0"/>
        <v>288.01927851030001</v>
      </c>
      <c r="I65" s="9">
        <f t="shared" si="0"/>
        <v>295</v>
      </c>
      <c r="J65" s="9">
        <f t="shared" si="0"/>
        <v>324.52796514900001</v>
      </c>
      <c r="K65" s="41">
        <f t="shared" si="0"/>
        <v>324.52796514900001</v>
      </c>
      <c r="L65" s="9">
        <f t="shared" si="0"/>
        <v>329</v>
      </c>
      <c r="M65" s="9">
        <f t="shared" si="0"/>
        <v>372.23842730490003</v>
      </c>
      <c r="N65" s="9">
        <f t="shared" ref="N65" si="1">+N23</f>
        <v>342.76156438720005</v>
      </c>
      <c r="O65" s="9">
        <v>407.2159601038</v>
      </c>
      <c r="P65" s="41">
        <v>407.2159601038</v>
      </c>
    </row>
    <row r="66" spans="1:16" ht="14.25">
      <c r="A66" s="2" t="str">
        <f>+A22</f>
        <v>Inventories</v>
      </c>
      <c r="B66" s="9">
        <f t="shared" ref="B66:M66" si="2">+B22</f>
        <v>8</v>
      </c>
      <c r="C66" s="9">
        <f t="shared" si="2"/>
        <v>8</v>
      </c>
      <c r="D66" s="9">
        <f t="shared" si="2"/>
        <v>11</v>
      </c>
      <c r="E66" s="9">
        <f t="shared" si="2"/>
        <v>10</v>
      </c>
      <c r="F66" s="41">
        <f t="shared" si="2"/>
        <v>10</v>
      </c>
      <c r="G66" s="9">
        <f t="shared" si="2"/>
        <v>11</v>
      </c>
      <c r="H66" s="9">
        <f t="shared" si="2"/>
        <v>12.4265979698</v>
      </c>
      <c r="I66" s="9">
        <f t="shared" si="2"/>
        <v>15</v>
      </c>
      <c r="J66" s="9">
        <f t="shared" si="2"/>
        <v>12.0623918385</v>
      </c>
      <c r="K66" s="41">
        <f t="shared" si="2"/>
        <v>12.0623918385</v>
      </c>
      <c r="L66" s="9">
        <f t="shared" si="2"/>
        <v>14</v>
      </c>
      <c r="M66" s="9">
        <f t="shared" si="2"/>
        <v>12.4164744385</v>
      </c>
      <c r="N66" s="9">
        <f t="shared" ref="N66" si="3">+N22</f>
        <v>11.9206106276</v>
      </c>
      <c r="O66" s="9">
        <v>11.671711669900001</v>
      </c>
      <c r="P66" s="41">
        <v>11.671711669900001</v>
      </c>
    </row>
    <row r="67" spans="1:16" ht="14.25">
      <c r="A67" s="2" t="str">
        <f>+A26</f>
        <v>Other receivables</v>
      </c>
      <c r="B67" s="9">
        <f t="shared" ref="B67:M67" si="4">+B26</f>
        <v>40</v>
      </c>
      <c r="C67" s="9">
        <f t="shared" si="4"/>
        <v>87</v>
      </c>
      <c r="D67" s="9">
        <f t="shared" si="4"/>
        <v>68.341488747700012</v>
      </c>
      <c r="E67" s="9">
        <f t="shared" si="4"/>
        <v>102</v>
      </c>
      <c r="F67" s="41">
        <f t="shared" si="4"/>
        <v>102</v>
      </c>
      <c r="G67" s="9">
        <f t="shared" si="4"/>
        <v>125</v>
      </c>
      <c r="H67" s="9">
        <f t="shared" si="4"/>
        <v>127.5550938268</v>
      </c>
      <c r="I67" s="9">
        <f t="shared" si="4"/>
        <v>109.2171475263</v>
      </c>
      <c r="J67" s="9">
        <f t="shared" si="4"/>
        <v>118.8480297911</v>
      </c>
      <c r="K67" s="41">
        <f t="shared" si="4"/>
        <v>118.8480297911</v>
      </c>
      <c r="L67" s="9">
        <f t="shared" si="4"/>
        <v>150</v>
      </c>
      <c r="M67" s="9">
        <f t="shared" si="4"/>
        <v>159.22384258490004</v>
      </c>
      <c r="N67" s="9">
        <f t="shared" ref="N67" si="5">+N26</f>
        <v>148.14101035319999</v>
      </c>
      <c r="O67" s="9">
        <v>141.31905446979999</v>
      </c>
      <c r="P67" s="41">
        <v>141.31905446979999</v>
      </c>
    </row>
    <row r="68" spans="1:16" s="3" customFormat="1">
      <c r="A68" s="3" t="s">
        <v>144</v>
      </c>
      <c r="B68" s="48">
        <f>SUM(B65:B67)</f>
        <v>261</v>
      </c>
      <c r="C68" s="48">
        <f t="shared" ref="C68:M68" si="6">SUM(C65:C67)</f>
        <v>316</v>
      </c>
      <c r="D68" s="48">
        <f t="shared" si="6"/>
        <v>295.3414887477</v>
      </c>
      <c r="E68" s="48">
        <f t="shared" si="6"/>
        <v>400</v>
      </c>
      <c r="F68" s="10">
        <f t="shared" si="6"/>
        <v>400</v>
      </c>
      <c r="G68" s="48">
        <f t="shared" si="6"/>
        <v>379</v>
      </c>
      <c r="H68" s="48">
        <f t="shared" si="6"/>
        <v>428.00097030690006</v>
      </c>
      <c r="I68" s="48">
        <f t="shared" si="6"/>
        <v>419.21714752629998</v>
      </c>
      <c r="J68" s="48">
        <f t="shared" si="6"/>
        <v>455.43838677860003</v>
      </c>
      <c r="K68" s="10">
        <f t="shared" si="6"/>
        <v>455.43838677860003</v>
      </c>
      <c r="L68" s="48">
        <f t="shared" si="6"/>
        <v>493</v>
      </c>
      <c r="M68" s="48">
        <f t="shared" si="6"/>
        <v>543.87874432830006</v>
      </c>
      <c r="N68" s="48">
        <f t="shared" ref="N68:P68" si="7">SUM(N65:N67)</f>
        <v>502.82318536800005</v>
      </c>
      <c r="O68" s="48">
        <f t="shared" si="7"/>
        <v>560.20672624350004</v>
      </c>
      <c r="P68" s="10">
        <f t="shared" si="7"/>
        <v>560.20672624350004</v>
      </c>
    </row>
    <row r="69" spans="1:16" ht="14.25">
      <c r="B69" s="9"/>
      <c r="C69" s="9"/>
      <c r="D69" s="9"/>
      <c r="E69" s="9"/>
      <c r="F69" s="41"/>
      <c r="G69" s="9"/>
      <c r="H69" s="9"/>
      <c r="I69" s="9"/>
      <c r="J69" s="9"/>
      <c r="K69" s="41"/>
      <c r="L69" s="9"/>
      <c r="M69" s="9"/>
      <c r="N69" s="9"/>
      <c r="O69" s="9"/>
      <c r="P69" s="41"/>
    </row>
    <row r="70" spans="1:16" ht="14.25">
      <c r="A70" s="2" t="str">
        <f>+A54</f>
        <v>Trade payables</v>
      </c>
      <c r="B70" s="9">
        <f t="shared" ref="B70:M70" si="8">+B54</f>
        <v>72</v>
      </c>
      <c r="C70" s="9">
        <f t="shared" si="8"/>
        <v>70</v>
      </c>
      <c r="D70" s="9">
        <f t="shared" si="8"/>
        <v>74</v>
      </c>
      <c r="E70" s="9">
        <f t="shared" si="8"/>
        <v>98</v>
      </c>
      <c r="F70" s="41">
        <f t="shared" si="8"/>
        <v>98</v>
      </c>
      <c r="G70" s="9">
        <f t="shared" si="8"/>
        <v>84.038284871199963</v>
      </c>
      <c r="H70" s="9">
        <f t="shared" si="8"/>
        <v>86.629239158700003</v>
      </c>
      <c r="I70" s="9">
        <f t="shared" si="8"/>
        <v>101</v>
      </c>
      <c r="J70" s="9">
        <f t="shared" si="8"/>
        <v>111.28540567349999</v>
      </c>
      <c r="K70" s="41">
        <f t="shared" si="8"/>
        <v>111.28540567349999</v>
      </c>
      <c r="L70" s="9">
        <f t="shared" si="8"/>
        <v>113.38714578969996</v>
      </c>
      <c r="M70" s="9">
        <f t="shared" si="8"/>
        <v>108.6092948733</v>
      </c>
      <c r="N70" s="9">
        <f t="shared" ref="N70" si="9">+N54</f>
        <v>120.369509017</v>
      </c>
      <c r="O70" s="9">
        <v>141.7247110198</v>
      </c>
      <c r="P70" s="41">
        <v>141.7247110198</v>
      </c>
    </row>
    <row r="71" spans="1:16" ht="14.25">
      <c r="A71" s="2" t="str">
        <f>+A55</f>
        <v>Deferred income</v>
      </c>
      <c r="B71" s="9">
        <f t="shared" ref="B71:M71" si="10">+B55</f>
        <v>48</v>
      </c>
      <c r="C71" s="9">
        <f t="shared" si="10"/>
        <v>32</v>
      </c>
      <c r="D71" s="9">
        <f t="shared" si="10"/>
        <v>29.791169006000001</v>
      </c>
      <c r="E71" s="9">
        <f t="shared" si="10"/>
        <v>35</v>
      </c>
      <c r="F71" s="41">
        <f t="shared" si="10"/>
        <v>35</v>
      </c>
      <c r="G71" s="9">
        <f t="shared" si="10"/>
        <v>57.615342146399996</v>
      </c>
      <c r="H71" s="9">
        <f t="shared" si="10"/>
        <v>41.228440912499998</v>
      </c>
      <c r="I71" s="9">
        <f t="shared" si="10"/>
        <v>38.695238600899984</v>
      </c>
      <c r="J71" s="9">
        <f t="shared" si="10"/>
        <v>40.217723203299997</v>
      </c>
      <c r="K71" s="41">
        <f t="shared" si="10"/>
        <v>40.217723203299997</v>
      </c>
      <c r="L71" s="9">
        <f t="shared" si="10"/>
        <v>51.111481451700001</v>
      </c>
      <c r="M71" s="9">
        <f t="shared" si="10"/>
        <v>64.106529130400006</v>
      </c>
      <c r="N71" s="9">
        <f t="shared" ref="N71" si="11">+N55</f>
        <v>60.323840014300004</v>
      </c>
      <c r="O71" s="9">
        <v>48.909856202900002</v>
      </c>
      <c r="P71" s="41">
        <v>48.909856202900002</v>
      </c>
    </row>
    <row r="72" spans="1:16" ht="14.25">
      <c r="A72" s="2" t="str">
        <f>+A57</f>
        <v>Other current liabilites</v>
      </c>
      <c r="B72" s="9">
        <f t="shared" ref="B72:M72" si="12">+B57</f>
        <v>229.23700000000002</v>
      </c>
      <c r="C72" s="9">
        <f t="shared" si="12"/>
        <v>373</v>
      </c>
      <c r="D72" s="9">
        <f t="shared" si="12"/>
        <v>348.59361068920026</v>
      </c>
      <c r="E72" s="9">
        <f t="shared" si="12"/>
        <v>53</v>
      </c>
      <c r="F72" s="41">
        <f t="shared" si="12"/>
        <v>353</v>
      </c>
      <c r="G72" s="9">
        <f>+G57-23</f>
        <v>314.29750283489898</v>
      </c>
      <c r="H72" s="9">
        <f t="shared" si="12"/>
        <v>433.38700859739708</v>
      </c>
      <c r="I72" s="9">
        <f t="shared" si="12"/>
        <v>377.6394503693989</v>
      </c>
      <c r="J72" s="9">
        <f t="shared" si="12"/>
        <v>358.36305272160058</v>
      </c>
      <c r="K72" s="41">
        <f t="shared" si="12"/>
        <v>358.36305272160058</v>
      </c>
      <c r="L72" s="9">
        <f>+L57-16</f>
        <v>391.90453705800161</v>
      </c>
      <c r="M72" s="9">
        <f t="shared" si="12"/>
        <v>431.92341865649985</v>
      </c>
      <c r="N72" s="9">
        <f t="shared" ref="N72" si="13">+N57</f>
        <v>399.27052003000017</v>
      </c>
      <c r="O72" s="9">
        <v>392</v>
      </c>
      <c r="P72" s="41">
        <v>392</v>
      </c>
    </row>
    <row r="73" spans="1:16" s="3" customFormat="1">
      <c r="A73" s="3" t="s">
        <v>110</v>
      </c>
      <c r="B73" s="48">
        <f>SUM(B70:B72)</f>
        <v>349.23700000000002</v>
      </c>
      <c r="C73" s="48">
        <f t="shared" ref="C73:M73" si="14">SUM(C70:C72)</f>
        <v>475</v>
      </c>
      <c r="D73" s="48">
        <f t="shared" si="14"/>
        <v>452.38477969520028</v>
      </c>
      <c r="E73" s="48">
        <f t="shared" si="14"/>
        <v>186</v>
      </c>
      <c r="F73" s="10">
        <f t="shared" si="14"/>
        <v>486</v>
      </c>
      <c r="G73" s="48">
        <f t="shared" si="14"/>
        <v>455.95112985249892</v>
      </c>
      <c r="H73" s="48">
        <f t="shared" si="14"/>
        <v>561.24468866859706</v>
      </c>
      <c r="I73" s="48">
        <f t="shared" si="14"/>
        <v>517.33468897029888</v>
      </c>
      <c r="J73" s="48">
        <f t="shared" si="14"/>
        <v>509.86618159840054</v>
      </c>
      <c r="K73" s="10">
        <f t="shared" si="14"/>
        <v>509.86618159840054</v>
      </c>
      <c r="L73" s="48">
        <f t="shared" si="14"/>
        <v>556.40316429940162</v>
      </c>
      <c r="M73" s="48">
        <f t="shared" si="14"/>
        <v>604.6392426601999</v>
      </c>
      <c r="N73" s="48">
        <f t="shared" ref="N73:P73" si="15">SUM(N70:N72)</f>
        <v>579.9638690613001</v>
      </c>
      <c r="O73" s="48">
        <f t="shared" si="15"/>
        <v>582.63456722270007</v>
      </c>
      <c r="P73" s="10">
        <f t="shared" si="15"/>
        <v>582.63456722270007</v>
      </c>
    </row>
    <row r="74" spans="1:16" ht="14.25">
      <c r="B74" s="9"/>
      <c r="C74" s="9"/>
      <c r="D74" s="9"/>
      <c r="E74" s="9"/>
      <c r="F74" s="41"/>
      <c r="G74" s="9"/>
      <c r="H74" s="9"/>
      <c r="I74" s="9"/>
      <c r="J74" s="9"/>
      <c r="K74" s="41"/>
      <c r="L74" s="9"/>
      <c r="M74" s="9"/>
      <c r="N74" s="9"/>
      <c r="O74" s="9"/>
      <c r="P74" s="41"/>
    </row>
    <row r="75" spans="1:16" s="3" customFormat="1">
      <c r="A75" s="3" t="s">
        <v>59</v>
      </c>
      <c r="B75" s="48">
        <f>+B68-B73</f>
        <v>-88.237000000000023</v>
      </c>
      <c r="C75" s="48">
        <f t="shared" ref="C75:M75" si="16">+C68-C73</f>
        <v>-159</v>
      </c>
      <c r="D75" s="48">
        <f>+D68-D73+1</f>
        <v>-156.04329094750028</v>
      </c>
      <c r="E75" s="48">
        <f t="shared" si="16"/>
        <v>214</v>
      </c>
      <c r="F75" s="10">
        <f t="shared" si="16"/>
        <v>-86</v>
      </c>
      <c r="G75" s="48">
        <f t="shared" si="16"/>
        <v>-76.951129852498923</v>
      </c>
      <c r="H75" s="48">
        <f t="shared" si="16"/>
        <v>-133.24371836169701</v>
      </c>
      <c r="I75" s="48">
        <f t="shared" si="16"/>
        <v>-98.117541443998903</v>
      </c>
      <c r="J75" s="48">
        <f>+J68-J73+1</f>
        <v>-53.427794819800511</v>
      </c>
      <c r="K75" s="10">
        <f>+K68-K73+1</f>
        <v>-53.427794819800511</v>
      </c>
      <c r="L75" s="48">
        <f t="shared" si="16"/>
        <v>-63.403164299401624</v>
      </c>
      <c r="M75" s="48">
        <f t="shared" si="16"/>
        <v>-60.760498331899839</v>
      </c>
      <c r="N75" s="48">
        <f t="shared" ref="N75" si="17">+N68-N73</f>
        <v>-77.140683693300048</v>
      </c>
      <c r="O75" s="48">
        <v>-23</v>
      </c>
      <c r="P75" s="10">
        <v>-23</v>
      </c>
    </row>
    <row r="76" spans="1:16" ht="14.25"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</row>
    <row r="77" spans="1:16" ht="3" customHeight="1">
      <c r="A77" s="53"/>
      <c r="B77" s="54"/>
      <c r="C77" s="54"/>
      <c r="D77" s="54"/>
      <c r="E77" s="54"/>
      <c r="F77" s="55"/>
      <c r="G77" s="54"/>
      <c r="H77" s="54"/>
      <c r="I77" s="54"/>
      <c r="J77" s="54"/>
      <c r="K77" s="55"/>
      <c r="L77" s="54"/>
      <c r="M77" s="54"/>
      <c r="N77" s="54"/>
      <c r="O77" s="54"/>
      <c r="P77" s="55"/>
    </row>
    <row r="78" spans="1:16" ht="14.25"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</row>
    <row r="79" spans="1:16">
      <c r="A79" s="69" t="s">
        <v>145</v>
      </c>
      <c r="F79" s="29"/>
      <c r="K79" s="29"/>
      <c r="P79" s="29"/>
    </row>
    <row r="80" spans="1:16" ht="14.25">
      <c r="A80" s="2" t="s">
        <v>102</v>
      </c>
      <c r="B80" s="9">
        <f t="shared" ref="B80:M80" si="18">+B51+B44</f>
        <v>66</v>
      </c>
      <c r="C80" s="9">
        <f t="shared" si="18"/>
        <v>96</v>
      </c>
      <c r="D80" s="9">
        <f t="shared" si="18"/>
        <v>128</v>
      </c>
      <c r="E80" s="9">
        <f t="shared" si="18"/>
        <v>160</v>
      </c>
      <c r="F80" s="41">
        <f t="shared" si="18"/>
        <v>160</v>
      </c>
      <c r="G80" s="9">
        <f t="shared" si="18"/>
        <v>156.349335516</v>
      </c>
      <c r="H80" s="9">
        <f t="shared" si="18"/>
        <v>177.8109149007</v>
      </c>
      <c r="I80" s="9">
        <f t="shared" si="18"/>
        <v>189</v>
      </c>
      <c r="J80" s="9">
        <f t="shared" si="18"/>
        <v>216.62201832530002</v>
      </c>
      <c r="K80" s="41">
        <f t="shared" si="18"/>
        <v>216.62201832530002</v>
      </c>
      <c r="L80" s="9">
        <f t="shared" si="18"/>
        <v>319.61378438130004</v>
      </c>
      <c r="M80" s="9">
        <f t="shared" si="18"/>
        <v>313.23461865920001</v>
      </c>
      <c r="N80" s="9">
        <f t="shared" ref="N80" si="19">+N51+N44</f>
        <v>307.05217387550005</v>
      </c>
      <c r="O80" s="9">
        <v>368</v>
      </c>
      <c r="P80" s="41">
        <v>368</v>
      </c>
    </row>
    <row r="81" spans="1:16" ht="14.25">
      <c r="A81" s="2" t="s">
        <v>101</v>
      </c>
      <c r="B81" s="9">
        <f t="shared" ref="B81:M81" si="20">+B50+B43</f>
        <v>190</v>
      </c>
      <c r="C81" s="9">
        <f t="shared" si="20"/>
        <v>188</v>
      </c>
      <c r="D81" s="9">
        <f t="shared" si="20"/>
        <v>193</v>
      </c>
      <c r="E81" s="9">
        <f t="shared" si="20"/>
        <v>201</v>
      </c>
      <c r="F81" s="41">
        <f t="shared" si="20"/>
        <v>201</v>
      </c>
      <c r="G81" s="9">
        <f t="shared" si="20"/>
        <v>184.03509365629998</v>
      </c>
      <c r="H81" s="9">
        <f t="shared" si="20"/>
        <v>241.03194075370001</v>
      </c>
      <c r="I81" s="9">
        <f t="shared" si="20"/>
        <v>239</v>
      </c>
      <c r="J81" s="9">
        <f t="shared" si="20"/>
        <v>236.45571847310001</v>
      </c>
      <c r="K81" s="41">
        <f t="shared" si="20"/>
        <v>236.45571847310001</v>
      </c>
      <c r="L81" s="9">
        <f t="shared" si="20"/>
        <v>216.58915549760002</v>
      </c>
      <c r="M81" s="9">
        <f t="shared" si="20"/>
        <v>198.64858248999997</v>
      </c>
      <c r="N81" s="9">
        <f t="shared" ref="N81" si="21">+N50+N43</f>
        <v>192.40002571809998</v>
      </c>
      <c r="O81" s="9">
        <v>225</v>
      </c>
      <c r="P81" s="41">
        <v>225</v>
      </c>
    </row>
    <row r="82" spans="1:16" ht="14.25">
      <c r="A82" s="2" t="s">
        <v>150</v>
      </c>
      <c r="B82" s="9">
        <v>0</v>
      </c>
      <c r="C82" s="9">
        <v>2</v>
      </c>
      <c r="D82" s="9">
        <v>2.4</v>
      </c>
      <c r="E82" s="9">
        <v>0</v>
      </c>
      <c r="F82" s="41">
        <v>0</v>
      </c>
      <c r="G82" s="9">
        <v>0</v>
      </c>
      <c r="H82" s="9">
        <v>0</v>
      </c>
      <c r="I82" s="9">
        <v>1</v>
      </c>
      <c r="J82" s="9">
        <v>-0.4</v>
      </c>
      <c r="K82" s="41">
        <v>-0.4</v>
      </c>
      <c r="L82" s="9">
        <v>1</v>
      </c>
      <c r="M82" s="9">
        <v>0</v>
      </c>
      <c r="N82" s="9">
        <v>0</v>
      </c>
      <c r="O82" s="9">
        <v>0</v>
      </c>
      <c r="P82" s="41">
        <v>0</v>
      </c>
    </row>
    <row r="83" spans="1:16" s="3" customFormat="1">
      <c r="A83" s="3" t="s">
        <v>146</v>
      </c>
      <c r="B83" s="48">
        <f>SUM(B80:B82)</f>
        <v>256</v>
      </c>
      <c r="C83" s="48">
        <f t="shared" ref="C83:M83" si="22">SUM(C80:C82)</f>
        <v>286</v>
      </c>
      <c r="D83" s="48">
        <f t="shared" si="22"/>
        <v>323.39999999999998</v>
      </c>
      <c r="E83" s="48">
        <f t="shared" si="22"/>
        <v>361</v>
      </c>
      <c r="F83" s="10">
        <f t="shared" si="22"/>
        <v>361</v>
      </c>
      <c r="G83" s="48">
        <f t="shared" si="22"/>
        <v>340.38442917229997</v>
      </c>
      <c r="H83" s="48">
        <f t="shared" si="22"/>
        <v>418.84285565440001</v>
      </c>
      <c r="I83" s="48">
        <f t="shared" si="22"/>
        <v>429</v>
      </c>
      <c r="J83" s="48">
        <f t="shared" si="22"/>
        <v>452.67773679840002</v>
      </c>
      <c r="K83" s="10">
        <f t="shared" si="22"/>
        <v>452.67773679840002</v>
      </c>
      <c r="L83" s="48">
        <f t="shared" si="22"/>
        <v>537.2029398789</v>
      </c>
      <c r="M83" s="48">
        <f t="shared" si="22"/>
        <v>511.88320114919998</v>
      </c>
      <c r="N83" s="48">
        <f t="shared" ref="N83:P83" si="23">SUM(N80:N82)</f>
        <v>499.45219959360003</v>
      </c>
      <c r="O83" s="48">
        <f t="shared" si="23"/>
        <v>593</v>
      </c>
      <c r="P83" s="10">
        <f t="shared" si="23"/>
        <v>593</v>
      </c>
    </row>
    <row r="84" spans="1:16" ht="14.25">
      <c r="B84" s="9"/>
      <c r="C84" s="9"/>
      <c r="D84" s="9"/>
      <c r="E84" s="9"/>
      <c r="F84" s="41"/>
      <c r="G84" s="9"/>
      <c r="H84" s="9"/>
      <c r="I84" s="9"/>
      <c r="J84" s="9"/>
      <c r="K84" s="41"/>
      <c r="L84" s="9"/>
      <c r="M84" s="9"/>
      <c r="N84" s="9"/>
      <c r="O84" s="9"/>
      <c r="P84" s="41"/>
    </row>
    <row r="85" spans="1:16" ht="14.25">
      <c r="A85" s="2" t="s">
        <v>147</v>
      </c>
      <c r="B85" s="9">
        <f t="shared" ref="B85:M85" si="24">+B25+B15</f>
        <v>46</v>
      </c>
      <c r="C85" s="9">
        <f t="shared" si="24"/>
        <v>46.324692924899999</v>
      </c>
      <c r="D85" s="9">
        <f t="shared" si="24"/>
        <v>73.592052120099993</v>
      </c>
      <c r="E85" s="9">
        <f t="shared" si="24"/>
        <v>70</v>
      </c>
      <c r="F85" s="41">
        <f t="shared" si="24"/>
        <v>70</v>
      </c>
      <c r="G85" s="9">
        <f t="shared" si="24"/>
        <v>57</v>
      </c>
      <c r="H85" s="9">
        <f>+H25+H15+15</f>
        <v>71.560937203000009</v>
      </c>
      <c r="I85" s="9">
        <f t="shared" si="24"/>
        <v>55.849064957799996</v>
      </c>
      <c r="J85" s="9">
        <f t="shared" si="24"/>
        <v>50.239083604300006</v>
      </c>
      <c r="K85" s="41">
        <f t="shared" si="24"/>
        <v>50.239083604300006</v>
      </c>
      <c r="L85" s="9">
        <f t="shared" si="24"/>
        <v>61.422541000000002</v>
      </c>
      <c r="M85" s="9">
        <f t="shared" si="24"/>
        <v>63.341850000000001</v>
      </c>
      <c r="N85" s="9">
        <f t="shared" ref="N85" si="25">+N25+N15</f>
        <v>61.509542010000004</v>
      </c>
      <c r="O85" s="9">
        <v>60</v>
      </c>
      <c r="P85" s="41">
        <v>60</v>
      </c>
    </row>
    <row r="86" spans="1:16" ht="14.25">
      <c r="A86" s="2" t="s">
        <v>94</v>
      </c>
      <c r="B86" s="9">
        <f>+B27</f>
        <v>171</v>
      </c>
      <c r="C86" s="9">
        <f t="shared" ref="C86:M86" si="26">+C27</f>
        <v>248</v>
      </c>
      <c r="D86" s="9">
        <f t="shared" si="26"/>
        <v>292</v>
      </c>
      <c r="E86" s="9">
        <f t="shared" si="26"/>
        <v>246</v>
      </c>
      <c r="F86" s="41">
        <f t="shared" si="26"/>
        <v>246</v>
      </c>
      <c r="G86" s="9">
        <f t="shared" si="26"/>
        <v>215</v>
      </c>
      <c r="H86" s="9">
        <f t="shared" si="26"/>
        <v>392.72922091230004</v>
      </c>
      <c r="I86" s="9">
        <f t="shared" si="26"/>
        <v>248</v>
      </c>
      <c r="J86" s="9">
        <f t="shared" si="26"/>
        <v>265.33307223140002</v>
      </c>
      <c r="K86" s="41">
        <f t="shared" si="26"/>
        <v>265.33307223140002</v>
      </c>
      <c r="L86" s="9">
        <f t="shared" si="26"/>
        <v>292</v>
      </c>
      <c r="M86" s="9">
        <f t="shared" si="26"/>
        <v>233.65917336199996</v>
      </c>
      <c r="N86" s="9">
        <f t="shared" ref="N86" si="27">+N27</f>
        <v>207.39849908900001</v>
      </c>
      <c r="O86" s="9">
        <v>183.15811700569998</v>
      </c>
      <c r="P86" s="41">
        <v>183.15811700569998</v>
      </c>
    </row>
    <row r="87" spans="1:16" s="3" customFormat="1">
      <c r="A87" s="3" t="s">
        <v>148</v>
      </c>
      <c r="B87" s="48">
        <f t="shared" ref="B87:M87" si="28">SUM(B85:B86)</f>
        <v>217</v>
      </c>
      <c r="C87" s="48">
        <f t="shared" si="28"/>
        <v>294.32469292489998</v>
      </c>
      <c r="D87" s="48">
        <f t="shared" si="28"/>
        <v>365.59205212009999</v>
      </c>
      <c r="E87" s="48">
        <f t="shared" si="28"/>
        <v>316</v>
      </c>
      <c r="F87" s="10">
        <f t="shared" si="28"/>
        <v>316</v>
      </c>
      <c r="G87" s="48">
        <f t="shared" si="28"/>
        <v>272</v>
      </c>
      <c r="H87" s="48">
        <f t="shared" si="28"/>
        <v>464.29015811530007</v>
      </c>
      <c r="I87" s="48">
        <f t="shared" si="28"/>
        <v>303.84906495780001</v>
      </c>
      <c r="J87" s="48">
        <f t="shared" si="28"/>
        <v>315.57215583570002</v>
      </c>
      <c r="K87" s="10">
        <f t="shared" si="28"/>
        <v>315.57215583570002</v>
      </c>
      <c r="L87" s="48">
        <f t="shared" si="28"/>
        <v>353.42254100000002</v>
      </c>
      <c r="M87" s="48">
        <f t="shared" si="28"/>
        <v>297.00102336199996</v>
      </c>
      <c r="N87" s="48">
        <f t="shared" ref="N87:P87" si="29">SUM(N85:N86)</f>
        <v>268.908041099</v>
      </c>
      <c r="O87" s="48">
        <f t="shared" si="29"/>
        <v>243.15811700569998</v>
      </c>
      <c r="P87" s="10">
        <f t="shared" si="29"/>
        <v>243.15811700569998</v>
      </c>
    </row>
    <row r="88" spans="1:16" ht="14.25">
      <c r="B88" s="9"/>
      <c r="C88" s="9"/>
      <c r="D88" s="9"/>
      <c r="E88" s="9"/>
      <c r="F88" s="41"/>
      <c r="G88" s="9"/>
      <c r="H88" s="9"/>
      <c r="I88" s="9"/>
      <c r="J88" s="9"/>
      <c r="K88" s="41"/>
      <c r="L88" s="9"/>
      <c r="M88" s="9"/>
      <c r="N88" s="9"/>
      <c r="O88" s="9"/>
      <c r="P88" s="41"/>
    </row>
    <row r="89" spans="1:16" s="3" customFormat="1">
      <c r="A89" s="3" t="s">
        <v>149</v>
      </c>
      <c r="B89" s="48">
        <f t="shared" ref="B89:M89" si="30">+B83-B87</f>
        <v>39</v>
      </c>
      <c r="C89" s="48">
        <f t="shared" si="30"/>
        <v>-8.3246929248999777</v>
      </c>
      <c r="D89" s="48">
        <f t="shared" si="30"/>
        <v>-42.192052120100016</v>
      </c>
      <c r="E89" s="48">
        <f t="shared" si="30"/>
        <v>45</v>
      </c>
      <c r="F89" s="10">
        <f t="shared" si="30"/>
        <v>45</v>
      </c>
      <c r="G89" s="48">
        <f t="shared" si="30"/>
        <v>68.384429172299974</v>
      </c>
      <c r="H89" s="48">
        <f t="shared" si="30"/>
        <v>-45.447302460900062</v>
      </c>
      <c r="I89" s="48">
        <f t="shared" si="30"/>
        <v>125.15093504219999</v>
      </c>
      <c r="J89" s="48">
        <f t="shared" si="30"/>
        <v>137.1055809627</v>
      </c>
      <c r="K89" s="10">
        <f t="shared" si="30"/>
        <v>137.1055809627</v>
      </c>
      <c r="L89" s="48">
        <f t="shared" si="30"/>
        <v>183.78039887889997</v>
      </c>
      <c r="M89" s="48">
        <f t="shared" si="30"/>
        <v>214.88217778720002</v>
      </c>
      <c r="N89" s="48">
        <f t="shared" ref="N89:P89" si="31">+N83-N87</f>
        <v>230.54415849460003</v>
      </c>
      <c r="O89" s="48">
        <f t="shared" si="31"/>
        <v>349.84188299430002</v>
      </c>
      <c r="P89" s="10">
        <f t="shared" si="31"/>
        <v>349.84188299430002</v>
      </c>
    </row>
    <row r="90" spans="1:16">
      <c r="B90" s="9"/>
      <c r="C90" s="9"/>
      <c r="D90" s="9"/>
      <c r="E90" s="9"/>
      <c r="F90" s="48"/>
      <c r="G90" s="9"/>
      <c r="H90" s="9"/>
      <c r="I90" s="9"/>
      <c r="J90" s="9"/>
      <c r="K90" s="48"/>
      <c r="L90" s="9"/>
      <c r="M90" s="9"/>
      <c r="N90" s="9"/>
      <c r="O90" s="9"/>
      <c r="P90" s="48"/>
    </row>
    <row r="91" spans="1:16">
      <c r="B91" s="9"/>
      <c r="C91" s="9"/>
      <c r="D91" s="9"/>
      <c r="E91" s="9"/>
      <c r="F91" s="48"/>
      <c r="G91" s="9"/>
      <c r="H91" s="9"/>
      <c r="I91" s="9"/>
      <c r="J91" s="9"/>
      <c r="K91" s="48"/>
      <c r="L91" s="9"/>
      <c r="M91" s="9"/>
      <c r="N91" s="9"/>
      <c r="O91" s="9"/>
      <c r="P91" s="48"/>
    </row>
    <row r="92" spans="1:16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48"/>
    </row>
    <row r="93" spans="1:16">
      <c r="B93" s="9"/>
      <c r="C93" s="9"/>
      <c r="D93" s="9"/>
      <c r="E93" s="9"/>
      <c r="F93" s="48"/>
      <c r="G93" s="9"/>
      <c r="H93" s="9"/>
      <c r="I93" s="9"/>
      <c r="J93" s="9"/>
      <c r="K93" s="48"/>
      <c r="L93" s="9"/>
      <c r="M93" s="9"/>
      <c r="N93" s="9"/>
      <c r="O93" s="9"/>
      <c r="P93" s="48"/>
    </row>
    <row r="94" spans="1:16">
      <c r="B94" s="9"/>
      <c r="C94" s="9"/>
      <c r="D94" s="9"/>
      <c r="E94" s="9"/>
      <c r="F94" s="48"/>
      <c r="G94" s="9"/>
      <c r="H94" s="9"/>
      <c r="I94" s="9"/>
      <c r="J94" s="9"/>
      <c r="K94" s="48"/>
      <c r="L94" s="9"/>
      <c r="M94" s="9"/>
      <c r="N94" s="9"/>
      <c r="O94" s="9"/>
      <c r="P94" s="48"/>
    </row>
    <row r="95" spans="1:16">
      <c r="B95" s="9"/>
      <c r="C95" s="9"/>
      <c r="D95" s="9"/>
      <c r="E95" s="9"/>
      <c r="F95" s="48"/>
      <c r="G95" s="9"/>
      <c r="H95" s="9"/>
      <c r="I95" s="9"/>
      <c r="J95" s="9"/>
      <c r="K95" s="48"/>
      <c r="L95" s="9"/>
      <c r="M95" s="9"/>
      <c r="N95" s="9"/>
      <c r="O95" s="9"/>
      <c r="P95" s="48"/>
    </row>
    <row r="96" spans="1:16">
      <c r="B96" s="9"/>
      <c r="C96" s="9"/>
      <c r="D96" s="9"/>
      <c r="E96" s="9"/>
      <c r="F96" s="48"/>
      <c r="G96" s="9"/>
      <c r="H96" s="9"/>
      <c r="I96" s="9"/>
      <c r="J96" s="9"/>
      <c r="K96" s="48"/>
      <c r="L96" s="9"/>
      <c r="M96" s="9"/>
      <c r="N96" s="9"/>
      <c r="O96" s="9"/>
      <c r="P96" s="48"/>
    </row>
    <row r="97" spans="2:16">
      <c r="B97" s="9"/>
      <c r="C97" s="9"/>
      <c r="D97" s="9"/>
      <c r="E97" s="9"/>
      <c r="F97" s="48"/>
      <c r="G97" s="9"/>
      <c r="H97" s="9"/>
      <c r="I97" s="9"/>
      <c r="J97" s="9"/>
      <c r="K97" s="48"/>
      <c r="L97" s="9"/>
      <c r="M97" s="9"/>
      <c r="N97" s="9"/>
      <c r="O97" s="9"/>
      <c r="P97" s="48"/>
    </row>
    <row r="98" spans="2:16">
      <c r="B98" s="9"/>
      <c r="C98" s="9"/>
      <c r="D98" s="9"/>
      <c r="E98" s="9"/>
      <c r="F98" s="48"/>
      <c r="G98" s="9"/>
      <c r="H98" s="9"/>
      <c r="I98" s="9"/>
      <c r="J98" s="9"/>
      <c r="K98" s="48"/>
      <c r="L98" s="9"/>
      <c r="M98" s="9"/>
      <c r="N98" s="9"/>
      <c r="O98" s="9"/>
      <c r="P98" s="48"/>
    </row>
    <row r="99" spans="2:16">
      <c r="B99" s="9"/>
      <c r="C99" s="9"/>
      <c r="D99" s="9"/>
      <c r="E99" s="9"/>
      <c r="F99" s="48"/>
      <c r="G99" s="9"/>
      <c r="H99" s="9"/>
      <c r="I99" s="9"/>
      <c r="J99" s="9"/>
      <c r="K99" s="48"/>
      <c r="L99" s="9"/>
      <c r="M99" s="9"/>
      <c r="N99" s="9"/>
      <c r="O99" s="9"/>
      <c r="P99" s="48"/>
    </row>
    <row r="100" spans="2:16">
      <c r="B100" s="9"/>
      <c r="C100" s="9"/>
      <c r="D100" s="9"/>
      <c r="E100" s="9"/>
      <c r="F100" s="48"/>
      <c r="G100" s="9"/>
      <c r="H100" s="9"/>
      <c r="I100" s="9"/>
      <c r="J100" s="9"/>
      <c r="K100" s="48"/>
      <c r="L100" s="9"/>
      <c r="M100" s="9"/>
      <c r="N100" s="9"/>
      <c r="O100" s="9"/>
      <c r="P100" s="48"/>
    </row>
    <row r="101" spans="2:16">
      <c r="B101" s="9"/>
      <c r="C101" s="9"/>
      <c r="D101" s="9"/>
      <c r="E101" s="9"/>
      <c r="F101" s="48"/>
      <c r="G101" s="9"/>
      <c r="H101" s="9"/>
      <c r="I101" s="9"/>
      <c r="J101" s="9"/>
      <c r="K101" s="48"/>
      <c r="L101" s="9"/>
      <c r="M101" s="9"/>
      <c r="N101" s="9"/>
      <c r="O101" s="9"/>
      <c r="P101" s="48"/>
    </row>
    <row r="102" spans="2:16">
      <c r="B102" s="9"/>
      <c r="C102" s="9"/>
      <c r="D102" s="9"/>
      <c r="E102" s="9"/>
      <c r="F102" s="48"/>
      <c r="G102" s="9"/>
      <c r="H102" s="9"/>
      <c r="I102" s="9"/>
      <c r="J102" s="9"/>
      <c r="K102" s="48"/>
      <c r="L102" s="9"/>
      <c r="M102" s="9"/>
      <c r="N102" s="9"/>
      <c r="O102" s="9"/>
      <c r="P102" s="48"/>
    </row>
    <row r="103" spans="2:16">
      <c r="B103" s="9"/>
      <c r="C103" s="9"/>
      <c r="D103" s="9"/>
      <c r="E103" s="9"/>
      <c r="F103" s="48"/>
      <c r="G103" s="9"/>
      <c r="H103" s="9"/>
      <c r="I103" s="9"/>
      <c r="J103" s="9"/>
      <c r="K103" s="48"/>
      <c r="L103" s="9"/>
      <c r="M103" s="9"/>
      <c r="N103" s="9"/>
      <c r="O103" s="9"/>
      <c r="P103" s="48"/>
    </row>
    <row r="104" spans="2:16">
      <c r="B104" s="9"/>
      <c r="C104" s="9"/>
      <c r="D104" s="9"/>
      <c r="E104" s="9"/>
      <c r="F104" s="48"/>
      <c r="G104" s="9"/>
      <c r="H104" s="9"/>
      <c r="I104" s="9"/>
      <c r="J104" s="9"/>
      <c r="K104" s="48"/>
      <c r="L104" s="9"/>
      <c r="M104" s="9"/>
      <c r="N104" s="9"/>
      <c r="O104" s="9"/>
      <c r="P104" s="48"/>
    </row>
    <row r="105" spans="2:16">
      <c r="B105" s="9"/>
      <c r="C105" s="9"/>
      <c r="D105" s="9"/>
      <c r="E105" s="9"/>
      <c r="F105" s="48"/>
      <c r="G105" s="9"/>
      <c r="H105" s="9"/>
      <c r="I105" s="9"/>
      <c r="J105" s="9"/>
      <c r="K105" s="48"/>
      <c r="L105" s="9"/>
      <c r="M105" s="9"/>
      <c r="N105" s="9"/>
      <c r="O105" s="9"/>
      <c r="P105" s="48"/>
    </row>
    <row r="106" spans="2:16">
      <c r="B106" s="9"/>
      <c r="C106" s="9"/>
      <c r="D106" s="9"/>
      <c r="E106" s="9"/>
      <c r="F106" s="48"/>
      <c r="G106" s="9"/>
      <c r="H106" s="9"/>
      <c r="I106" s="9"/>
      <c r="J106" s="9"/>
      <c r="K106" s="48"/>
      <c r="L106" s="9"/>
      <c r="M106" s="9"/>
      <c r="N106" s="9"/>
      <c r="O106" s="9"/>
      <c r="P106" s="48"/>
    </row>
    <row r="107" spans="2:16">
      <c r="B107" s="9"/>
      <c r="C107" s="9"/>
      <c r="D107" s="9"/>
      <c r="E107" s="9"/>
      <c r="F107" s="48"/>
      <c r="G107" s="9"/>
      <c r="H107" s="9"/>
      <c r="I107" s="9"/>
      <c r="J107" s="9"/>
      <c r="K107" s="48"/>
      <c r="L107" s="9"/>
      <c r="M107" s="9"/>
      <c r="N107" s="9"/>
      <c r="O107" s="9"/>
      <c r="P107" s="48"/>
    </row>
    <row r="108" spans="2:16">
      <c r="B108" s="9"/>
      <c r="C108" s="9"/>
      <c r="D108" s="9"/>
      <c r="E108" s="9"/>
      <c r="F108" s="48"/>
      <c r="G108" s="9"/>
      <c r="H108" s="9"/>
      <c r="I108" s="9"/>
      <c r="J108" s="9"/>
      <c r="K108" s="48"/>
      <c r="L108" s="9"/>
      <c r="M108" s="9"/>
      <c r="N108" s="9"/>
      <c r="O108" s="9"/>
      <c r="P108" s="48"/>
    </row>
    <row r="109" spans="2:16">
      <c r="B109" s="9"/>
      <c r="C109" s="9"/>
      <c r="D109" s="9"/>
      <c r="E109" s="9"/>
      <c r="F109" s="48"/>
      <c r="G109" s="9"/>
      <c r="H109" s="9"/>
      <c r="I109" s="9"/>
      <c r="J109" s="9"/>
      <c r="K109" s="48"/>
      <c r="L109" s="9"/>
      <c r="M109" s="9"/>
      <c r="N109" s="9"/>
      <c r="O109" s="9"/>
      <c r="P109" s="48"/>
    </row>
    <row r="110" spans="2:16">
      <c r="B110" s="9"/>
      <c r="C110" s="9"/>
      <c r="D110" s="9"/>
      <c r="E110" s="9"/>
      <c r="F110" s="48"/>
      <c r="G110" s="9"/>
      <c r="H110" s="9"/>
      <c r="I110" s="9"/>
      <c r="J110" s="9"/>
      <c r="K110" s="48"/>
      <c r="L110" s="9"/>
      <c r="M110" s="9"/>
      <c r="N110" s="9"/>
      <c r="O110" s="9"/>
      <c r="P110" s="48"/>
    </row>
    <row r="111" spans="2:16">
      <c r="B111" s="9"/>
      <c r="C111" s="9"/>
      <c r="D111" s="9"/>
      <c r="E111" s="9"/>
      <c r="F111" s="48"/>
      <c r="G111" s="9"/>
      <c r="H111" s="9"/>
      <c r="I111" s="9"/>
      <c r="J111" s="9"/>
      <c r="K111" s="48"/>
      <c r="L111" s="9"/>
      <c r="M111" s="9"/>
      <c r="N111" s="9"/>
      <c r="O111" s="9"/>
      <c r="P111" s="48"/>
    </row>
    <row r="112" spans="2:16">
      <c r="B112" s="9"/>
      <c r="C112" s="9"/>
      <c r="D112" s="9"/>
      <c r="E112" s="9"/>
      <c r="F112" s="48"/>
      <c r="G112" s="9"/>
      <c r="H112" s="9"/>
      <c r="I112" s="9"/>
      <c r="J112" s="9"/>
      <c r="K112" s="48"/>
      <c r="L112" s="9"/>
      <c r="M112" s="9"/>
      <c r="N112" s="9"/>
      <c r="O112" s="9"/>
      <c r="P112" s="48"/>
    </row>
    <row r="113" spans="2:16">
      <c r="B113" s="9"/>
      <c r="C113" s="9"/>
      <c r="D113" s="9"/>
      <c r="E113" s="9"/>
      <c r="F113" s="48"/>
      <c r="G113" s="9"/>
      <c r="H113" s="9"/>
      <c r="I113" s="9"/>
      <c r="J113" s="9"/>
      <c r="K113" s="48"/>
      <c r="L113" s="9"/>
      <c r="M113" s="9"/>
      <c r="N113" s="9"/>
      <c r="O113" s="9"/>
      <c r="P113" s="48"/>
    </row>
    <row r="114" spans="2:16">
      <c r="B114" s="9"/>
      <c r="C114" s="9"/>
      <c r="D114" s="9"/>
      <c r="E114" s="9"/>
      <c r="F114" s="48"/>
      <c r="G114" s="9"/>
      <c r="H114" s="9"/>
      <c r="I114" s="9"/>
      <c r="J114" s="9"/>
      <c r="K114" s="48"/>
      <c r="L114" s="9"/>
      <c r="M114" s="9"/>
      <c r="N114" s="9"/>
      <c r="O114" s="9"/>
      <c r="P114" s="48"/>
    </row>
    <row r="115" spans="2:16">
      <c r="B115" s="9"/>
      <c r="C115" s="9"/>
      <c r="D115" s="9"/>
      <c r="E115" s="9"/>
      <c r="F115" s="48"/>
      <c r="G115" s="9"/>
      <c r="H115" s="9"/>
      <c r="I115" s="9"/>
      <c r="J115" s="9"/>
      <c r="K115" s="48"/>
      <c r="L115" s="9"/>
      <c r="M115" s="9"/>
      <c r="N115" s="9"/>
      <c r="O115" s="9"/>
      <c r="P115" s="48"/>
    </row>
  </sheetData>
  <pageMargins left="0.7" right="0.7" top="0.75" bottom="0.75" header="0.3" footer="0.3"/>
  <pageSetup paperSize="9" scale="68" orientation="landscape" r:id="rId1"/>
  <rowBreaks count="2" manualBreakCount="2">
    <brk id="32" max="16383" man="1"/>
    <brk id="61" max="16383" man="1"/>
  </rowBreaks>
  <ignoredErrors>
    <ignoredError sqref="H85 L72 G72 D75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E4DE473B4879499823041E4F3F38A4" ma:contentTypeVersion="4" ma:contentTypeDescription="Create a new document." ma:contentTypeScope="" ma:versionID="af28d59b43eb621b7d7dd092db26373c">
  <xsd:schema xmlns:xsd="http://www.w3.org/2001/XMLSchema" xmlns:xs="http://www.w3.org/2001/XMLSchema" xmlns:p="http://schemas.microsoft.com/office/2006/metadata/properties" xmlns:ns2="27ba2e8a-7a8d-471e-b31a-bde4e4f1c7ef" targetNamespace="http://schemas.microsoft.com/office/2006/metadata/properties" ma:root="true" ma:fieldsID="0764b6b5f2f18ae4a7f772eda3a957b2" ns2:_="">
    <xsd:import namespace="27ba2e8a-7a8d-471e-b31a-bde4e4f1c7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ba2e8a-7a8d-471e-b31a-bde4e4f1c7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98F78C-281B-4F78-BBF2-56AC157B5262}">
  <ds:schemaRefs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0be2032c-46a7-43ca-81de-106715ace2f1"/>
    <ds:schemaRef ds:uri="94bd4f77-2bc1-4ba9-b737-8f892c56a367"/>
  </ds:schemaRefs>
</ds:datastoreItem>
</file>

<file path=customXml/itemProps2.xml><?xml version="1.0" encoding="utf-8"?>
<ds:datastoreItem xmlns:ds="http://schemas.openxmlformats.org/officeDocument/2006/customXml" ds:itemID="{13A30113-8A24-4924-88CE-7927C4DD93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B5CAD8-33E1-4060-88CE-56C90AC07F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ba2e8a-7a8d-471e-b31a-bde4e4f1c7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Menu</vt:lpstr>
      <vt:lpstr>Financial highlights</vt:lpstr>
      <vt:lpstr>P&amp;L</vt:lpstr>
      <vt:lpstr>CF</vt:lpstr>
      <vt:lpstr>BS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Ravnsted-Larsen</dc:creator>
  <cp:lastModifiedBy>Andreas Ravnsted-Larsen</cp:lastModifiedBy>
  <cp:lastPrinted>2023-03-14T08:51:28Z</cp:lastPrinted>
  <dcterms:created xsi:type="dcterms:W3CDTF">2022-03-25T10:24:10Z</dcterms:created>
  <dcterms:modified xsi:type="dcterms:W3CDTF">2023-03-27T18:41:06Z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0x0101000AE4DE473B4879499823041E4F3F38A4</vt:lpwstr>
  </property>
  <property fmtid="{D5CDD505-2E9C-101B-9397-08002B2CF9AE}" pid="3" name="MediaServiceImageTags">
    <vt:lpwstr/>
  </property>
</Properties>
</file>